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4CC" lockStructure="1"/>
  <bookViews>
    <workbookView xWindow="240" yWindow="360" windowWidth="14805" windowHeight="7755" firstSheet="1" activeTab="1"/>
  </bookViews>
  <sheets>
    <sheet name="計算欄" sheetId="22" state="hidden" r:id="rId1"/>
    <sheet name="入力欄" sheetId="24" r:id="rId2"/>
  </sheets>
  <definedNames>
    <definedName name="_xlnm.Print_Area" localSheetId="0">計算欄!$A$1:$T$84</definedName>
    <definedName name="_xlnm.Print_Area" localSheetId="1">入力欄!$A$1:$J$29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M2" i="22" l="1"/>
  <c r="K39" i="22" l="1"/>
  <c r="M4" i="22"/>
  <c r="M5" i="22"/>
  <c r="M6" i="22"/>
  <c r="M7" i="22"/>
  <c r="K9" i="22"/>
  <c r="B65" i="22" l="1"/>
  <c r="C65" i="22"/>
  <c r="D65" i="22"/>
  <c r="L41" i="22" l="1"/>
  <c r="L63" i="22"/>
  <c r="K63" i="22"/>
  <c r="J63" i="22"/>
  <c r="I63" i="22"/>
  <c r="H63" i="22"/>
  <c r="G63" i="22"/>
  <c r="F63" i="22"/>
  <c r="E63" i="22"/>
  <c r="D63" i="22"/>
  <c r="C63" i="22"/>
  <c r="B63" i="22"/>
  <c r="L62" i="22"/>
  <c r="K62" i="22"/>
  <c r="J62" i="22"/>
  <c r="I62" i="22"/>
  <c r="H62" i="22"/>
  <c r="G62" i="22"/>
  <c r="F62" i="22"/>
  <c r="E62" i="22"/>
  <c r="D62" i="22"/>
  <c r="C62" i="22"/>
  <c r="B62" i="22"/>
  <c r="L60" i="22"/>
  <c r="K60" i="22"/>
  <c r="J60" i="22"/>
  <c r="I60" i="22"/>
  <c r="H60" i="22"/>
  <c r="G60" i="22"/>
  <c r="F60" i="22"/>
  <c r="E60" i="22"/>
  <c r="D60" i="22"/>
  <c r="C60" i="22"/>
  <c r="B60" i="22"/>
  <c r="L55" i="22"/>
  <c r="K55" i="22"/>
  <c r="K56" i="22" s="1"/>
  <c r="K57" i="22" s="1"/>
  <c r="J55" i="22"/>
  <c r="J59" i="22" s="1"/>
  <c r="I55" i="22"/>
  <c r="H55" i="22"/>
  <c r="G55" i="22"/>
  <c r="G56" i="22" s="1"/>
  <c r="F55" i="22"/>
  <c r="F59" i="22" s="1"/>
  <c r="E55" i="22"/>
  <c r="D55" i="22"/>
  <c r="C55" i="22"/>
  <c r="C56" i="22" s="1"/>
  <c r="C57" i="22" s="1"/>
  <c r="C61" i="22" s="1"/>
  <c r="B55" i="22"/>
  <c r="B59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E4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L43" i="22" l="1"/>
  <c r="B56" i="22"/>
  <c r="B57" i="22" s="1"/>
  <c r="B61" i="22" s="1"/>
  <c r="C59" i="22"/>
  <c r="C64" i="22" s="1"/>
  <c r="C66" i="22" s="1"/>
  <c r="C46" i="22" s="1"/>
  <c r="K61" i="22"/>
  <c r="G57" i="22"/>
  <c r="G61" i="22" s="1"/>
  <c r="K59" i="22"/>
  <c r="G15" i="22"/>
  <c r="K13" i="22"/>
  <c r="F56" i="22"/>
  <c r="F57" i="22" s="1"/>
  <c r="J56" i="22"/>
  <c r="J57" i="22" s="1"/>
  <c r="G59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L33" i="22" s="1"/>
  <c r="E15" i="22"/>
  <c r="E13" i="22"/>
  <c r="E19" i="22"/>
  <c r="E22" i="22" s="1"/>
  <c r="E24" i="22" s="1"/>
  <c r="I15" i="22"/>
  <c r="I13" i="22"/>
  <c r="I19" i="22"/>
  <c r="I22" i="22" s="1"/>
  <c r="I24" i="22" s="1"/>
  <c r="B13" i="22"/>
  <c r="D56" i="22"/>
  <c r="D57" i="22" s="1"/>
  <c r="H56" i="22"/>
  <c r="H57" i="22" s="1"/>
  <c r="H59" i="22"/>
  <c r="L56" i="22"/>
  <c r="L57" i="22" s="1"/>
  <c r="L27" i="22" s="1"/>
  <c r="D59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59" i="22"/>
  <c r="E56" i="22"/>
  <c r="E57" i="22" s="1"/>
  <c r="I59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6" i="22"/>
  <c r="I57" i="22" s="1"/>
  <c r="L59" i="22"/>
  <c r="B64" i="22"/>
  <c r="B66" i="22" s="1"/>
  <c r="B46" i="22" s="1"/>
  <c r="G27" i="22" l="1"/>
  <c r="B27" i="22"/>
  <c r="B29" i="22" s="1"/>
  <c r="K64" i="22"/>
  <c r="K66" i="22" s="1"/>
  <c r="K46" i="22" s="1"/>
  <c r="J61" i="22"/>
  <c r="J64" i="22" s="1"/>
  <c r="J66" i="22" s="1"/>
  <c r="J46" i="22" s="1"/>
  <c r="J27" i="22"/>
  <c r="J29" i="22" s="1"/>
  <c r="F61" i="22"/>
  <c r="F64" i="22" s="1"/>
  <c r="F66" i="22" s="1"/>
  <c r="F46" i="22" s="1"/>
  <c r="F27" i="22"/>
  <c r="F29" i="22" s="1"/>
  <c r="G64" i="22"/>
  <c r="G66" i="22" s="1"/>
  <c r="G46" i="22" s="1"/>
  <c r="B68" i="22"/>
  <c r="B70" i="22" s="1"/>
  <c r="B73" i="22" s="1"/>
  <c r="H25" i="22"/>
  <c r="H26" i="22"/>
  <c r="J26" i="22"/>
  <c r="J25" i="22"/>
  <c r="E61" i="22"/>
  <c r="E64" i="22" s="1"/>
  <c r="E66" i="22" s="1"/>
  <c r="E46" i="22" s="1"/>
  <c r="E27" i="22"/>
  <c r="E28" i="22" s="1"/>
  <c r="L28" i="22"/>
  <c r="L29" i="22"/>
  <c r="L25" i="22"/>
  <c r="L26" i="22"/>
  <c r="C68" i="22"/>
  <c r="C70" i="22" s="1"/>
  <c r="C73" i="22" s="1"/>
  <c r="F26" i="22"/>
  <c r="F25" i="22"/>
  <c r="H61" i="22"/>
  <c r="H64" i="22" s="1"/>
  <c r="H27" i="22"/>
  <c r="H29" i="22" s="1"/>
  <c r="B26" i="22"/>
  <c r="B28" i="22"/>
  <c r="B25" i="22"/>
  <c r="G28" i="22"/>
  <c r="G29" i="22"/>
  <c r="G25" i="22"/>
  <c r="G26" i="22"/>
  <c r="C28" i="22"/>
  <c r="C25" i="22"/>
  <c r="C29" i="22"/>
  <c r="C26" i="22"/>
  <c r="D61" i="22"/>
  <c r="D64" i="22" s="1"/>
  <c r="D66" i="22" s="1"/>
  <c r="D46" i="22" s="1"/>
  <c r="D27" i="22"/>
  <c r="D29" i="22" s="1"/>
  <c r="E25" i="22"/>
  <c r="E26" i="22"/>
  <c r="D25" i="22"/>
  <c r="D26" i="22"/>
  <c r="I61" i="22"/>
  <c r="I64" i="22" s="1"/>
  <c r="I66" i="22" s="1"/>
  <c r="I46" i="22" s="1"/>
  <c r="K28" i="22"/>
  <c r="K25" i="22"/>
  <c r="K29" i="22"/>
  <c r="K26" i="22"/>
  <c r="I25" i="22"/>
  <c r="I26" i="22"/>
  <c r="D34" i="22"/>
  <c r="D35" i="22"/>
  <c r="L61" i="22"/>
  <c r="L64" i="22" s="1"/>
  <c r="L66" i="22" s="1"/>
  <c r="L46" i="22" s="1"/>
  <c r="I27" i="22"/>
  <c r="I28" i="22" s="1"/>
  <c r="L34" i="22"/>
  <c r="L35" i="22"/>
  <c r="J68" i="22" l="1"/>
  <c r="J70" i="22" s="1"/>
  <c r="J73" i="22" s="1"/>
  <c r="G65" i="22"/>
  <c r="G40" i="22" s="1"/>
  <c r="E65" i="22"/>
  <c r="E40" i="22" s="1"/>
  <c r="J65" i="22"/>
  <c r="J40" i="22" s="1"/>
  <c r="I65" i="22"/>
  <c r="I40" i="22" s="1"/>
  <c r="F65" i="22"/>
  <c r="K65" i="22"/>
  <c r="K40" i="22" s="1"/>
  <c r="F68" i="22"/>
  <c r="F70" i="22" s="1"/>
  <c r="F73" i="22" s="1"/>
  <c r="H66" i="22"/>
  <c r="H46" i="22" s="1"/>
  <c r="J28" i="22"/>
  <c r="J30" i="22" s="1"/>
  <c r="F28" i="22"/>
  <c r="F30" i="22" s="1"/>
  <c r="J67" i="22"/>
  <c r="J71" i="22" s="1"/>
  <c r="J74" i="22" s="1"/>
  <c r="K68" i="22"/>
  <c r="K70" i="22" s="1"/>
  <c r="K73" i="22" s="1"/>
  <c r="G68" i="22"/>
  <c r="G70" i="22" s="1"/>
  <c r="G73" i="22" s="1"/>
  <c r="E29" i="22"/>
  <c r="E31" i="22" s="1"/>
  <c r="G30" i="22"/>
  <c r="I29" i="22"/>
  <c r="I31" i="22" s="1"/>
  <c r="C31" i="22"/>
  <c r="G31" i="22"/>
  <c r="B30" i="22"/>
  <c r="L30" i="22"/>
  <c r="L36" i="22" s="1"/>
  <c r="L50" i="22" s="1"/>
  <c r="D28" i="22"/>
  <c r="D30" i="22" s="1"/>
  <c r="K31" i="22"/>
  <c r="L31" i="22"/>
  <c r="L37" i="22" s="1"/>
  <c r="L51" i="22" s="1"/>
  <c r="D68" i="22"/>
  <c r="D70" i="22" s="1"/>
  <c r="D73" i="22" s="1"/>
  <c r="I68" i="22"/>
  <c r="I70" i="22" s="1"/>
  <c r="I73" i="22" s="1"/>
  <c r="E68" i="22"/>
  <c r="E70" i="22" s="1"/>
  <c r="E73" i="22" s="1"/>
  <c r="D31" i="22"/>
  <c r="D37" i="22" s="1"/>
  <c r="D51" i="22" s="1"/>
  <c r="H28" i="22"/>
  <c r="H30" i="22" s="1"/>
  <c r="C30" i="22"/>
  <c r="F31" i="22"/>
  <c r="J31" i="22"/>
  <c r="H31" i="22"/>
  <c r="L68" i="22"/>
  <c r="L70" i="22" s="1"/>
  <c r="L73" i="22" s="1"/>
  <c r="I30" i="22"/>
  <c r="K30" i="22"/>
  <c r="E30" i="22"/>
  <c r="B31" i="22"/>
  <c r="L52" i="22" l="1"/>
  <c r="K67" i="22"/>
  <c r="K71" i="22" s="1"/>
  <c r="K74" i="22" s="1"/>
  <c r="I67" i="22"/>
  <c r="I71" i="22" s="1"/>
  <c r="I74" i="22" s="1"/>
  <c r="H65" i="22"/>
  <c r="H40" i="22" s="1"/>
  <c r="G32" i="22"/>
  <c r="G45" i="22" s="1"/>
  <c r="G47" i="22" s="1"/>
  <c r="H68" i="22"/>
  <c r="H70" i="22" s="1"/>
  <c r="H73" i="22" s="1"/>
  <c r="G67" i="22"/>
  <c r="G71" i="22" s="1"/>
  <c r="G74" i="22" s="1"/>
  <c r="F40" i="22"/>
  <c r="F67" i="22"/>
  <c r="F71" i="22" s="1"/>
  <c r="F74" i="22" s="1"/>
  <c r="L32" i="22"/>
  <c r="L45" i="22" s="1"/>
  <c r="L47" i="22" s="1"/>
  <c r="J32" i="22"/>
  <c r="E67" i="22"/>
  <c r="E71" i="22" s="1"/>
  <c r="E74" i="22" s="1"/>
  <c r="H32" i="22"/>
  <c r="H45" i="22" s="1"/>
  <c r="H47" i="22" s="1"/>
  <c r="L77" i="22"/>
  <c r="L79" i="22" s="1"/>
  <c r="L80" i="22" s="1"/>
  <c r="L38" i="22"/>
  <c r="F32" i="22"/>
  <c r="F45" i="22" s="1"/>
  <c r="F47" i="22" s="1"/>
  <c r="I32" i="22"/>
  <c r="I45" i="22" s="1"/>
  <c r="I47" i="22" s="1"/>
  <c r="D36" i="22"/>
  <c r="D50" i="22" s="1"/>
  <c r="D52" i="22" s="1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J33" i="22" l="1"/>
  <c r="J35" i="22" s="1"/>
  <c r="J37" i="22" s="1"/>
  <c r="J51" i="22" s="1"/>
  <c r="J45" i="22"/>
  <c r="J47" i="22" s="1"/>
  <c r="H67" i="22"/>
  <c r="H71" i="22" s="1"/>
  <c r="H74" i="22" s="1"/>
  <c r="G33" i="22"/>
  <c r="G35" i="22" s="1"/>
  <c r="G37" i="22" s="1"/>
  <c r="G51" i="22" s="1"/>
  <c r="L76" i="22"/>
  <c r="L42" i="22"/>
  <c r="L44" i="22" s="1"/>
  <c r="H33" i="22"/>
  <c r="D77" i="22"/>
  <c r="D79" i="22" s="1"/>
  <c r="D80" i="22" s="1"/>
  <c r="D38" i="22"/>
  <c r="D76" i="22" s="1"/>
  <c r="F33" i="22"/>
  <c r="E83" i="22"/>
  <c r="E33" i="22"/>
  <c r="K33" i="22"/>
  <c r="B33" i="22"/>
  <c r="I33" i="22"/>
  <c r="G83" i="22"/>
  <c r="G87" i="22"/>
  <c r="C33" i="22"/>
  <c r="J34" i="22" l="1"/>
  <c r="J36" i="22" s="1"/>
  <c r="J50" i="22" s="1"/>
  <c r="J52" i="22" s="1"/>
  <c r="G34" i="22"/>
  <c r="G36" i="22" s="1"/>
  <c r="G50" i="22" s="1"/>
  <c r="G52" i="22" s="1"/>
  <c r="J87" i="22"/>
  <c r="J83" i="22"/>
  <c r="J85" i="22" s="1"/>
  <c r="C35" i="22"/>
  <c r="C37" i="22" s="1"/>
  <c r="C51" i="22" s="1"/>
  <c r="C34" i="22"/>
  <c r="C36" i="22" s="1"/>
  <c r="C50" i="22" s="1"/>
  <c r="I34" i="22"/>
  <c r="I36" i="22" s="1"/>
  <c r="I50" i="22" s="1"/>
  <c r="I35" i="22"/>
  <c r="I37" i="22" s="1"/>
  <c r="I51" i="22" s="1"/>
  <c r="K35" i="22"/>
  <c r="K37" i="22" s="1"/>
  <c r="K51" i="22" s="1"/>
  <c r="K34" i="22"/>
  <c r="K36" i="22" s="1"/>
  <c r="K50" i="22" s="1"/>
  <c r="H35" i="22"/>
  <c r="H37" i="22" s="1"/>
  <c r="H51" i="22" s="1"/>
  <c r="H34" i="22"/>
  <c r="H36" i="22" s="1"/>
  <c r="H50" i="22" s="1"/>
  <c r="I87" i="22"/>
  <c r="I83" i="22"/>
  <c r="K83" i="22"/>
  <c r="K87" i="22"/>
  <c r="E87" i="22"/>
  <c r="E86" i="22"/>
  <c r="E85" i="22"/>
  <c r="H87" i="22"/>
  <c r="H83" i="22"/>
  <c r="B35" i="22"/>
  <c r="B37" i="22" s="1"/>
  <c r="B51" i="22" s="1"/>
  <c r="B34" i="22"/>
  <c r="B36" i="22" s="1"/>
  <c r="B50" i="22" s="1"/>
  <c r="B52" i="22" s="1"/>
  <c r="F35" i="22"/>
  <c r="F37" i="22" s="1"/>
  <c r="F51" i="22" s="1"/>
  <c r="F34" i="22"/>
  <c r="F36" i="22" s="1"/>
  <c r="F50" i="22" s="1"/>
  <c r="E34" i="22"/>
  <c r="E36" i="22" s="1"/>
  <c r="E50" i="22" s="1"/>
  <c r="E35" i="22"/>
  <c r="E37" i="22" s="1"/>
  <c r="E51" i="22" s="1"/>
  <c r="G85" i="22"/>
  <c r="G86" i="22"/>
  <c r="F83" i="22"/>
  <c r="F87" i="22"/>
  <c r="E52" i="22" l="1"/>
  <c r="I52" i="22"/>
  <c r="J38" i="22"/>
  <c r="J42" i="22" s="1"/>
  <c r="F52" i="22"/>
  <c r="H52" i="22"/>
  <c r="K52" i="22"/>
  <c r="C52" i="22"/>
  <c r="J86" i="22"/>
  <c r="J88" i="22" s="1"/>
  <c r="J89" i="22" s="1"/>
  <c r="G38" i="22"/>
  <c r="G42" i="22" s="1"/>
  <c r="E38" i="22"/>
  <c r="E42" i="22" s="1"/>
  <c r="I86" i="22"/>
  <c r="I85" i="22"/>
  <c r="K38" i="22"/>
  <c r="K42" i="22" s="1"/>
  <c r="C38" i="22"/>
  <c r="G88" i="22"/>
  <c r="G89" i="22" s="1"/>
  <c r="G77" i="22"/>
  <c r="G79" i="22" s="1"/>
  <c r="G80" i="22" s="1"/>
  <c r="H38" i="22"/>
  <c r="H42" i="22" s="1"/>
  <c r="F38" i="22"/>
  <c r="F42" i="22" s="1"/>
  <c r="B38" i="22"/>
  <c r="B76" i="22" s="1"/>
  <c r="B77" i="22"/>
  <c r="B79" i="22" s="1"/>
  <c r="B80" i="22" s="1"/>
  <c r="E88" i="22"/>
  <c r="E89" i="22" s="1"/>
  <c r="K85" i="22"/>
  <c r="K86" i="22"/>
  <c r="I38" i="22"/>
  <c r="I42" i="22" s="1"/>
  <c r="F85" i="22"/>
  <c r="F86" i="22"/>
  <c r="J77" i="22"/>
  <c r="J79" i="22" s="1"/>
  <c r="J80" i="22" s="1"/>
  <c r="H86" i="22"/>
  <c r="H85" i="22"/>
  <c r="J76" i="22" l="1"/>
  <c r="G76" i="22"/>
  <c r="E43" i="22"/>
  <c r="E53" i="22" s="1"/>
  <c r="G44" i="22"/>
  <c r="G43" i="22"/>
  <c r="G53" i="22" s="1"/>
  <c r="J44" i="22"/>
  <c r="J43" i="22"/>
  <c r="J53" i="22" s="1"/>
  <c r="I76" i="22"/>
  <c r="H76" i="22"/>
  <c r="F76" i="22"/>
  <c r="K76" i="22"/>
  <c r="H88" i="22"/>
  <c r="H89" i="22" s="1"/>
  <c r="I88" i="22"/>
  <c r="I89" i="22" s="1"/>
  <c r="H77" i="22"/>
  <c r="H79" i="22" s="1"/>
  <c r="H80" i="22" s="1"/>
  <c r="F88" i="22"/>
  <c r="F89" i="22" s="1"/>
  <c r="K88" i="22"/>
  <c r="K89" i="22" s="1"/>
  <c r="F77" i="22"/>
  <c r="F79" i="22" s="1"/>
  <c r="F80" i="22" s="1"/>
  <c r="C77" i="22"/>
  <c r="C79" i="22" s="1"/>
  <c r="C80" i="22" s="1"/>
  <c r="C76" i="22"/>
  <c r="I77" i="22"/>
  <c r="I79" i="22" s="1"/>
  <c r="I80" i="22" s="1"/>
  <c r="E77" i="22"/>
  <c r="E79" i="22" s="1"/>
  <c r="E80" i="22" s="1"/>
  <c r="K77" i="22"/>
  <c r="K79" i="22" s="1"/>
  <c r="K80" i="22" s="1"/>
  <c r="E76" i="22"/>
  <c r="E44" i="22" l="1"/>
  <c r="K44" i="22"/>
  <c r="D25" i="24" s="1"/>
  <c r="D27" i="24" s="1"/>
  <c r="K43" i="22"/>
  <c r="K53" i="22" s="1"/>
  <c r="H44" i="22"/>
  <c r="H43" i="22"/>
  <c r="H53" i="22" s="1"/>
  <c r="F44" i="22"/>
  <c r="F43" i="22"/>
  <c r="F53" i="22" s="1"/>
  <c r="I44" i="22"/>
  <c r="I43" i="22"/>
  <c r="I53" i="22" s="1"/>
</calcChain>
</file>

<file path=xl/comments1.xml><?xml version="1.0" encoding="utf-8"?>
<comments xmlns="http://schemas.openxmlformats.org/spreadsheetml/2006/main">
  <authors>
    <author>作成者</author>
  </authors>
  <commentLis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<sst xmlns="http://schemas.openxmlformats.org/spreadsheetml/2006/main" count="172" uniqueCount="122">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</sst>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;[Red]\-#,##0.0000"/>
    <numFmt numFmtId="177" formatCode="#,##0.0;[Red]\-#,##0.0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 shrinkToFit="1"/>
    </xf>
    <xf numFmtId="38" fontId="5" fillId="4" borderId="43" xfId="1" applyFont="1" applyFill="1" applyBorder="1" applyAlignment="1">
      <alignment vertical="center"/>
    </xf>
    <xf numFmtId="38" fontId="5" fillId="4" borderId="16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52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6" borderId="1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2" fillId="8" borderId="1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2" fillId="8" borderId="1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4" borderId="1" xfId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0" fillId="15" borderId="21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0" fillId="11" borderId="21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38" fontId="2" fillId="11" borderId="1" xfId="1" applyFont="1" applyFill="1" applyBorder="1" applyAlignment="1">
      <alignment vertical="center" shrinkToFit="1"/>
    </xf>
    <xf numFmtId="40" fontId="2" fillId="0" borderId="22" xfId="1" applyNumberFormat="1" applyFont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40" fontId="2" fillId="11" borderId="44" xfId="1" applyNumberFormat="1" applyFont="1" applyFill="1" applyBorder="1" applyAlignment="1">
      <alignment vertical="center" shrinkToFit="1"/>
    </xf>
    <xf numFmtId="40" fontId="2" fillId="11" borderId="1" xfId="1" applyNumberFormat="1" applyFont="1" applyFill="1" applyBorder="1" applyAlignment="1">
      <alignment vertical="center" shrinkToFit="1"/>
    </xf>
    <xf numFmtId="38" fontId="0" fillId="2" borderId="18" xfId="1" applyFont="1" applyFill="1" applyBorder="1" applyAlignment="1">
      <alignment horizontal="right"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16" xfId="1" applyFont="1" applyFill="1" applyBorder="1" applyAlignment="1">
      <alignment vertical="center" shrinkToFit="1"/>
    </xf>
    <xf numFmtId="38" fontId="0" fillId="2" borderId="21" xfId="1" applyFont="1" applyFill="1" applyBorder="1" applyAlignment="1">
      <alignment horizontal="right"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2" borderId="1" xfId="1" applyFont="1" applyFill="1" applyBorder="1" applyAlignment="1">
      <alignment vertical="center" shrinkToFit="1"/>
    </xf>
    <xf numFmtId="38" fontId="0" fillId="9" borderId="18" xfId="1" applyFont="1" applyFill="1" applyBorder="1" applyAlignment="1">
      <alignment horizontal="right" vertical="center" shrinkToFit="1"/>
    </xf>
    <xf numFmtId="38" fontId="2" fillId="12" borderId="31" xfId="1" applyFont="1" applyFill="1" applyBorder="1" applyAlignment="1">
      <alignment vertical="center"/>
    </xf>
    <xf numFmtId="38" fontId="2" fillId="12" borderId="19" xfId="1" applyFont="1" applyFill="1" applyBorder="1" applyAlignment="1">
      <alignment vertical="center"/>
    </xf>
    <xf numFmtId="38" fontId="2" fillId="9" borderId="19" xfId="1" applyFont="1" applyFill="1" applyBorder="1" applyAlignment="1">
      <alignment vertical="center"/>
    </xf>
    <xf numFmtId="38" fontId="2" fillId="9" borderId="48" xfId="1" applyFont="1" applyFill="1" applyBorder="1" applyAlignment="1">
      <alignment vertical="center"/>
    </xf>
    <xf numFmtId="38" fontId="2" fillId="9" borderId="49" xfId="1" applyFont="1" applyFill="1" applyBorder="1" applyAlignment="1">
      <alignment vertical="center"/>
    </xf>
    <xf numFmtId="38" fontId="2" fillId="9" borderId="16" xfId="1" applyFont="1" applyFill="1" applyBorder="1" applyAlignment="1">
      <alignment vertical="center"/>
    </xf>
    <xf numFmtId="38" fontId="0" fillId="9" borderId="21" xfId="1" applyFont="1" applyFill="1" applyBorder="1" applyAlignment="1">
      <alignment horizontal="right" vertical="center" shrinkToFit="1"/>
    </xf>
    <xf numFmtId="38" fontId="2" fillId="12" borderId="40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9" borderId="44" xfId="1" applyFont="1" applyFill="1" applyBorder="1" applyAlignment="1">
      <alignment vertical="center"/>
    </xf>
    <xf numFmtId="38" fontId="2" fillId="9" borderId="45" xfId="1" applyFont="1" applyFill="1" applyBorder="1" applyAlignment="1">
      <alignment vertical="center"/>
    </xf>
    <xf numFmtId="38" fontId="2" fillId="9" borderId="1" xfId="1" applyFont="1" applyFill="1" applyBorder="1" applyAlignment="1">
      <alignment vertical="center"/>
    </xf>
    <xf numFmtId="38" fontId="0" fillId="9" borderId="27" xfId="1" applyFont="1" applyFill="1" applyBorder="1" applyAlignment="1">
      <alignment horizontal="right" vertical="center" shrinkToFit="1"/>
    </xf>
    <xf numFmtId="38" fontId="2" fillId="12" borderId="32" xfId="1" applyFont="1" applyFill="1" applyBorder="1" applyAlignment="1">
      <alignment vertical="center"/>
    </xf>
    <xf numFmtId="38" fontId="2" fillId="12" borderId="7" xfId="1" applyFont="1" applyFill="1" applyBorder="1" applyAlignment="1">
      <alignment vertical="center"/>
    </xf>
    <xf numFmtId="38" fontId="2" fillId="9" borderId="7" xfId="1" applyFont="1" applyFill="1" applyBorder="1" applyAlignment="1">
      <alignment vertical="center"/>
    </xf>
    <xf numFmtId="38" fontId="2" fillId="9" borderId="46" xfId="1" applyFont="1" applyFill="1" applyBorder="1" applyAlignment="1">
      <alignment vertical="center"/>
    </xf>
    <xf numFmtId="38" fontId="2" fillId="9" borderId="47" xfId="1" applyFont="1" applyFill="1" applyBorder="1" applyAlignment="1">
      <alignment vertical="center"/>
    </xf>
    <xf numFmtId="38" fontId="2" fillId="9" borderId="22" xfId="1" applyFont="1" applyFill="1" applyBorder="1" applyAlignment="1">
      <alignment vertical="center"/>
    </xf>
    <xf numFmtId="38" fontId="0" fillId="10" borderId="0" xfId="1" applyFont="1" applyFill="1" applyBorder="1" applyAlignment="1">
      <alignment horizontal="right" vertical="center" shrinkToFit="1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21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52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0" borderId="1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3" borderId="20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16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77" fontId="2" fillId="15" borderId="53" xfId="1" applyNumberFormat="1" applyFont="1" applyFill="1" applyBorder="1" applyAlignment="1">
      <alignment horizontal="right"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0" borderId="4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1"/>
  <sheetViews>
    <sheetView view="pageBreakPreview" topLeftCell="A35" zoomScale="85" zoomScaleNormal="100" zoomScaleSheetLayoutView="85" workbookViewId="0">
      <selection activeCell="O49" sqref="O49"/>
    </sheetView>
  </sheetViews>
  <sheetFormatPr defaultRowHeight="15" customHeight="1"/>
  <cols>
    <col min="1" max="1" width="30.5" style="1" customWidth="1"/>
    <col min="2" max="10" width="12.5" style="1" hidden="1" customWidth="1"/>
    <col min="11" max="11" width="12.5" style="1" customWidth="1"/>
    <col min="12" max="12" width="14.25" style="1" customWidth="1"/>
    <col min="13" max="13" width="4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51" t="s">
        <v>1</v>
      </c>
      <c r="B1" s="251"/>
      <c r="C1" s="251"/>
      <c r="D1" s="251"/>
      <c r="E1" s="251"/>
      <c r="F1" s="251"/>
      <c r="G1" s="251"/>
      <c r="H1" s="251"/>
      <c r="I1" s="251"/>
      <c r="J1" s="251"/>
      <c r="M1" s="12"/>
      <c r="N1" s="13"/>
      <c r="O1" s="6"/>
      <c r="AA1" s="1" t="s">
        <v>2</v>
      </c>
    </row>
    <row r="2" spans="1:31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2" t="s">
        <v>3</v>
      </c>
      <c r="L2" s="253"/>
      <c r="M2" s="14">
        <f>入力欄!D12</f>
        <v>0</v>
      </c>
      <c r="N2" s="15" t="s">
        <v>4</v>
      </c>
      <c r="O2" s="6"/>
      <c r="V2" s="254" t="str">
        <f>IF(M2&gt;0,IF(M2=1,"夫婦","多妻?"),"独身")</f>
        <v>独身</v>
      </c>
      <c r="W2" s="254"/>
      <c r="AA2" s="7"/>
      <c r="AB2" s="255" t="s">
        <v>5</v>
      </c>
      <c r="AC2" s="255"/>
      <c r="AD2" s="255" t="s">
        <v>6</v>
      </c>
      <c r="AE2" s="255"/>
    </row>
    <row r="3" spans="1:31" ht="15" customHeight="1" thickBot="1">
      <c r="A3" s="16" t="s">
        <v>44</v>
      </c>
      <c r="B3" s="17">
        <v>25</v>
      </c>
      <c r="C3" s="18" t="s">
        <v>43</v>
      </c>
      <c r="K3" s="256" t="s">
        <v>7</v>
      </c>
      <c r="L3" s="257"/>
      <c r="M3" s="19"/>
      <c r="N3" s="20"/>
      <c r="O3" s="6"/>
      <c r="Q3" s="13" t="s">
        <v>8</v>
      </c>
      <c r="R3" s="13"/>
      <c r="S3" s="13" t="s">
        <v>9</v>
      </c>
      <c r="T3" s="13"/>
      <c r="V3" s="254"/>
      <c r="W3" s="254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259" t="str">
        <f>IF(B3&gt;23,"16歳未満","")</f>
        <v>16歳未満</v>
      </c>
      <c r="L4" s="260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258" t="str">
        <f>IF((M5+M6+M7)&gt;0,"控除対象扶養","")</f>
        <v/>
      </c>
      <c r="W4" s="258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259" t="str">
        <f>IF(B3&gt;23,"16歳以上19歳未満","扶養親族")</f>
        <v>16歳以上19歳未満</v>
      </c>
      <c r="L5" s="260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258"/>
      <c r="W5" s="258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261" t="str">
        <f>IF(B3&gt;23,"19歳以上23歳未満","特定扶養親族")</f>
        <v>19歳以上23歳未満</v>
      </c>
      <c r="L6" s="262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258" t="str">
        <f>IF(M6&gt;0,"うち特定扶養","")</f>
        <v/>
      </c>
      <c r="W6" s="258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263" t="str">
        <f>IF(B3&gt;23,"23歳以上","")</f>
        <v>23歳以上</v>
      </c>
      <c r="L7" s="264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258"/>
      <c r="W7" s="258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>
        <v>7620000</v>
      </c>
      <c r="F9" s="46">
        <v>11610000</v>
      </c>
      <c r="G9" s="46">
        <v>10000000</v>
      </c>
      <c r="H9" s="47">
        <v>20000000</v>
      </c>
      <c r="I9" s="46">
        <v>25000000</v>
      </c>
      <c r="J9" s="46">
        <v>29950000</v>
      </c>
      <c r="K9" s="48">
        <f>入力欄!D7</f>
        <v>0</v>
      </c>
      <c r="L9" s="49"/>
      <c r="M9" s="50"/>
      <c r="N9" s="50"/>
      <c r="O9" s="50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51" t="s">
        <v>12</v>
      </c>
      <c r="B10" s="52">
        <f t="shared" ref="B10:L10" si="0">B9*VLOOKUP(B9,$Q$6:$R$11,2)+VLOOKUP(B9,$Q$14:$R$19,2)</f>
        <v>1900000</v>
      </c>
      <c r="C10" s="53">
        <f t="shared" si="0"/>
        <v>1900000</v>
      </c>
      <c r="D10" s="6">
        <f t="shared" si="0"/>
        <v>650000</v>
      </c>
      <c r="E10" s="54">
        <f>E9*VLOOKUP(E9,$Q$6:$R$12,2)+VLOOKUP(E9,$Q$14:$R$20,2)</f>
        <v>1962000</v>
      </c>
      <c r="F10" s="6">
        <f t="shared" ref="F10:K10" si="1">F9*VLOOKUP(F9,$Q$6:$R$12,2)+VLOOKUP(F9,$Q$14:$R$20,2)</f>
        <v>2280500</v>
      </c>
      <c r="G10" s="6">
        <f t="shared" si="1"/>
        <v>2200000</v>
      </c>
      <c r="H10" s="6">
        <f t="shared" si="1"/>
        <v>2450000</v>
      </c>
      <c r="I10" s="6">
        <f t="shared" si="1"/>
        <v>2450000</v>
      </c>
      <c r="J10" s="6">
        <f>J9*VLOOKUP(J9,$Q$6:$R$12,2)+VLOOKUP(J9,$Q$14:$R$20,2)</f>
        <v>2450000</v>
      </c>
      <c r="K10" s="6">
        <f t="shared" si="1"/>
        <v>650000</v>
      </c>
      <c r="L10" s="55">
        <f t="shared" si="0"/>
        <v>650000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51" t="s">
        <v>19</v>
      </c>
      <c r="B11" s="52">
        <f t="shared" ref="B11:L11" si="2">B9-B10</f>
        <v>5100000</v>
      </c>
      <c r="C11" s="53">
        <f>C9-C10</f>
        <v>5100000</v>
      </c>
      <c r="D11" s="56">
        <f>D9-D10</f>
        <v>-650000</v>
      </c>
      <c r="E11" s="57">
        <f t="shared" ref="E11:I11" si="3">E9-E10</f>
        <v>5658000</v>
      </c>
      <c r="F11" s="56">
        <f t="shared" si="3"/>
        <v>9329500</v>
      </c>
      <c r="G11" s="56">
        <f t="shared" si="3"/>
        <v>7800000</v>
      </c>
      <c r="H11" s="56">
        <f t="shared" si="3"/>
        <v>17550000</v>
      </c>
      <c r="I11" s="56">
        <f t="shared" si="3"/>
        <v>22550000</v>
      </c>
      <c r="J11" s="56">
        <f t="shared" si="2"/>
        <v>27500000</v>
      </c>
      <c r="K11" s="58">
        <f t="shared" si="2"/>
        <v>-650000</v>
      </c>
      <c r="L11" s="59">
        <f t="shared" si="2"/>
        <v>-650000</v>
      </c>
      <c r="M11" s="6"/>
      <c r="N11" s="6"/>
      <c r="O11" s="6"/>
      <c r="Q11" s="60">
        <v>10000001</v>
      </c>
      <c r="R11" s="61">
        <v>0.05</v>
      </c>
      <c r="S11" s="60">
        <v>10000001</v>
      </c>
      <c r="T11" s="61">
        <v>0.05</v>
      </c>
    </row>
    <row r="12" spans="1:31" ht="15" customHeight="1">
      <c r="A12" s="62" t="s">
        <v>45</v>
      </c>
      <c r="B12" s="52">
        <f t="shared" ref="B12:L12" si="4">IF(($M$2+$M$4+$M$5+$M$6+$M$7)&gt;=1,350000*($M$2+$M$4+$M$5+$M$6+$M$7+1)+320000,350000)</f>
        <v>350000</v>
      </c>
      <c r="C12" s="53">
        <f t="shared" si="4"/>
        <v>350000</v>
      </c>
      <c r="D12" s="63">
        <f t="shared" si="4"/>
        <v>350000</v>
      </c>
      <c r="E12" s="64">
        <f t="shared" si="4"/>
        <v>350000</v>
      </c>
      <c r="F12" s="63">
        <f t="shared" si="4"/>
        <v>350000</v>
      </c>
      <c r="G12" s="63">
        <f t="shared" si="4"/>
        <v>350000</v>
      </c>
      <c r="H12" s="63">
        <f t="shared" si="4"/>
        <v>350000</v>
      </c>
      <c r="I12" s="63">
        <f t="shared" si="4"/>
        <v>350000</v>
      </c>
      <c r="J12" s="63">
        <f t="shared" si="4"/>
        <v>350000</v>
      </c>
      <c r="K12" s="65">
        <f t="shared" si="4"/>
        <v>350000</v>
      </c>
      <c r="L12" s="66">
        <f t="shared" si="4"/>
        <v>350000</v>
      </c>
      <c r="M12" s="6"/>
      <c r="N12" s="6"/>
      <c r="O12" s="6"/>
      <c r="Q12" s="67">
        <v>15000001</v>
      </c>
      <c r="R12" s="68">
        <v>0</v>
      </c>
      <c r="S12" s="67">
        <v>15000001</v>
      </c>
      <c r="T12" s="68">
        <v>0</v>
      </c>
    </row>
    <row r="13" spans="1:31" ht="15" customHeight="1">
      <c r="A13" s="62" t="s">
        <v>46</v>
      </c>
      <c r="B13" s="69" t="str">
        <f t="shared" ref="B13:L13" si="5">IF(B11&gt;B12,"所得割課税","所得割非課税")</f>
        <v>所得割課税</v>
      </c>
      <c r="C13" s="70" t="str">
        <f t="shared" si="5"/>
        <v>所得割課税</v>
      </c>
      <c r="D13" s="71" t="str">
        <f t="shared" si="5"/>
        <v>所得割非課税</v>
      </c>
      <c r="E13" s="72" t="str">
        <f t="shared" si="5"/>
        <v>所得割課税</v>
      </c>
      <c r="F13" s="71" t="str">
        <f t="shared" si="5"/>
        <v>所得割課税</v>
      </c>
      <c r="G13" s="71" t="str">
        <f t="shared" si="5"/>
        <v>所得割課税</v>
      </c>
      <c r="H13" s="71" t="str">
        <f t="shared" si="5"/>
        <v>所得割課税</v>
      </c>
      <c r="I13" s="71" t="str">
        <f t="shared" si="5"/>
        <v>所得割課税</v>
      </c>
      <c r="J13" s="71" t="str">
        <f t="shared" si="5"/>
        <v>所得割課税</v>
      </c>
      <c r="K13" s="73" t="str">
        <f t="shared" si="5"/>
        <v>所得割非課税</v>
      </c>
      <c r="L13" s="74" t="str">
        <f t="shared" si="5"/>
        <v>所得割非課税</v>
      </c>
      <c r="M13" s="6"/>
      <c r="N13" s="6"/>
      <c r="O13" s="6"/>
      <c r="Q13" s="75" t="s">
        <v>23</v>
      </c>
      <c r="R13" s="76"/>
      <c r="S13" s="75" t="s">
        <v>49</v>
      </c>
      <c r="T13" s="76"/>
    </row>
    <row r="14" spans="1:31" ht="15" customHeight="1">
      <c r="A14" s="62" t="s">
        <v>47</v>
      </c>
      <c r="B14" s="52">
        <f t="shared" ref="B14:L14" si="6">IF(($M$2+$M$4+$M$5+$M$6+$M$7)&gt;=1,350000*($M$2+$M$4+$M$5+$M$6+$M$7+1)+210000,350000)</f>
        <v>350000</v>
      </c>
      <c r="C14" s="53">
        <f t="shared" si="6"/>
        <v>350000</v>
      </c>
      <c r="D14" s="63">
        <f t="shared" si="6"/>
        <v>350000</v>
      </c>
      <c r="E14" s="64">
        <f t="shared" si="6"/>
        <v>350000</v>
      </c>
      <c r="F14" s="63">
        <f t="shared" si="6"/>
        <v>350000</v>
      </c>
      <c r="G14" s="63">
        <f t="shared" si="6"/>
        <v>350000</v>
      </c>
      <c r="H14" s="63">
        <f t="shared" si="6"/>
        <v>350000</v>
      </c>
      <c r="I14" s="63">
        <f t="shared" si="6"/>
        <v>350000</v>
      </c>
      <c r="J14" s="63">
        <f t="shared" si="6"/>
        <v>350000</v>
      </c>
      <c r="K14" s="65">
        <f t="shared" si="6"/>
        <v>350000</v>
      </c>
      <c r="L14" s="66">
        <f t="shared" si="6"/>
        <v>350000</v>
      </c>
      <c r="M14" s="6"/>
      <c r="N14" s="6"/>
      <c r="O14" s="6"/>
      <c r="Q14" s="29">
        <v>0</v>
      </c>
      <c r="R14" s="77">
        <v>650000</v>
      </c>
      <c r="S14" s="29">
        <v>0</v>
      </c>
      <c r="T14" s="77">
        <v>650000</v>
      </c>
    </row>
    <row r="15" spans="1:31" ht="15" customHeight="1">
      <c r="A15" s="62" t="s">
        <v>48</v>
      </c>
      <c r="B15" s="69" t="str">
        <f t="shared" ref="B15:L15" si="7">IF(B11&gt;B14,"均等割課税","均等割非課税")</f>
        <v>均等割課税</v>
      </c>
      <c r="C15" s="69" t="str">
        <f t="shared" si="7"/>
        <v>均等割課税</v>
      </c>
      <c r="D15" s="71" t="str">
        <f t="shared" si="7"/>
        <v>均等割非課税</v>
      </c>
      <c r="E15" s="72" t="str">
        <f t="shared" si="7"/>
        <v>均等割課税</v>
      </c>
      <c r="F15" s="71" t="str">
        <f t="shared" si="7"/>
        <v>均等割課税</v>
      </c>
      <c r="G15" s="71" t="str">
        <f t="shared" si="7"/>
        <v>均等割課税</v>
      </c>
      <c r="H15" s="71" t="str">
        <f t="shared" si="7"/>
        <v>均等割課税</v>
      </c>
      <c r="I15" s="71" t="str">
        <f t="shared" si="7"/>
        <v>均等割課税</v>
      </c>
      <c r="J15" s="71" t="str">
        <f t="shared" si="7"/>
        <v>均等割課税</v>
      </c>
      <c r="K15" s="73" t="str">
        <f t="shared" si="7"/>
        <v>均等割非課税</v>
      </c>
      <c r="L15" s="74" t="str">
        <f t="shared" si="7"/>
        <v>均等割非課税</v>
      </c>
      <c r="M15" s="6"/>
      <c r="N15" s="6"/>
      <c r="O15" s="6"/>
      <c r="Q15" s="29">
        <v>1625001</v>
      </c>
      <c r="R15" s="77">
        <v>0</v>
      </c>
      <c r="S15" s="29">
        <v>1625001</v>
      </c>
      <c r="T15" s="77">
        <v>0</v>
      </c>
    </row>
    <row r="16" spans="1:31" ht="15" customHeight="1">
      <c r="A16" s="51"/>
      <c r="B16" s="52"/>
      <c r="C16" s="53"/>
      <c r="D16" s="6"/>
      <c r="E16" s="54"/>
      <c r="F16" s="6"/>
      <c r="G16" s="6"/>
      <c r="H16" s="6"/>
      <c r="I16" s="6"/>
      <c r="J16" s="6"/>
      <c r="K16" s="78"/>
      <c r="L16" s="59"/>
      <c r="M16" s="6"/>
      <c r="N16" s="6"/>
      <c r="O16" s="6"/>
      <c r="Q16" s="29">
        <v>1800001</v>
      </c>
      <c r="R16" s="77">
        <v>180000</v>
      </c>
      <c r="S16" s="29">
        <v>1800001</v>
      </c>
      <c r="T16" s="77">
        <v>180000</v>
      </c>
    </row>
    <row r="17" spans="1:20" ht="15" customHeight="1">
      <c r="A17" s="51" t="s">
        <v>20</v>
      </c>
      <c r="B17" s="52">
        <f>B9*VLOOKUP(B9,$Q$23:$R$25,2)+VLOOKUP(B9,$Q$27:$R$29,2)</f>
        <v>700000</v>
      </c>
      <c r="C17" s="53">
        <f>C9*VLOOKUP(C9,$Q$23:$R$25,2)+VLOOKUP(C9,$Q$27:$R$29,2)</f>
        <v>700000</v>
      </c>
      <c r="D17" s="6">
        <f>D9*VLOOKUP(D9,$Q$23:$R$25,2)+VLOOKUP(D9,$Q$27:$R$29,2)</f>
        <v>0</v>
      </c>
      <c r="E17" s="54">
        <f t="shared" ref="E17:I17" si="8">E9*VLOOKUP(E9,$Q$23:$R$25,2)+VLOOKUP(E9,$Q$27:$R$29,2)</f>
        <v>762000</v>
      </c>
      <c r="F17" s="6">
        <f t="shared" si="8"/>
        <v>1004400</v>
      </c>
      <c r="G17" s="6">
        <f t="shared" si="8"/>
        <v>940000</v>
      </c>
      <c r="H17" s="6">
        <f t="shared" si="8"/>
        <v>1140000</v>
      </c>
      <c r="I17" s="6">
        <f t="shared" si="8"/>
        <v>1140000</v>
      </c>
      <c r="J17" s="6">
        <f>J9*VLOOKUP(J9,$Q$23:$R$25,2)+VLOOKUP(J9,$Q$27:$R$29,2)</f>
        <v>1140000</v>
      </c>
      <c r="K17" s="78">
        <f>K9*VLOOKUP(K9,$Q$23:$R$25,2)+VLOOKUP(K9,$Q$27:$R$29,2)</f>
        <v>0</v>
      </c>
      <c r="L17" s="59">
        <f>L9*VLOOKUP(L9,$Q$23:$R$25,2)+VLOOKUP(L9,$Q$27:$R$29,2)</f>
        <v>0</v>
      </c>
      <c r="M17" s="6"/>
      <c r="N17" s="6"/>
      <c r="O17" s="6"/>
      <c r="Q17" s="29">
        <v>3600001</v>
      </c>
      <c r="R17" s="77">
        <v>540000</v>
      </c>
      <c r="S17" s="29">
        <v>3600001</v>
      </c>
      <c r="T17" s="77">
        <v>540000</v>
      </c>
    </row>
    <row r="18" spans="1:20" ht="15" customHeight="1">
      <c r="A18" s="51" t="s">
        <v>21</v>
      </c>
      <c r="B18" s="52">
        <f t="shared" ref="B18:L18" si="9">IF($M$2=1,$R$32,0)</f>
        <v>0</v>
      </c>
      <c r="C18" s="53">
        <f t="shared" si="9"/>
        <v>0</v>
      </c>
      <c r="D18" s="6">
        <f t="shared" si="9"/>
        <v>0</v>
      </c>
      <c r="E18" s="54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8">
        <f t="shared" si="9"/>
        <v>0</v>
      </c>
      <c r="L18" s="59">
        <f t="shared" si="9"/>
        <v>0</v>
      </c>
      <c r="M18" s="6"/>
      <c r="N18" s="6"/>
      <c r="O18" s="6"/>
      <c r="Q18" s="29">
        <v>6600001</v>
      </c>
      <c r="R18" s="77">
        <v>1200000</v>
      </c>
      <c r="S18" s="29">
        <v>6600001</v>
      </c>
      <c r="T18" s="77">
        <v>1200000</v>
      </c>
    </row>
    <row r="19" spans="1:20" ht="15" customHeight="1" thickBot="1">
      <c r="A19" s="51" t="s">
        <v>22</v>
      </c>
      <c r="B19" s="52">
        <f t="shared" ref="B19:L19" si="10">IF(B11&lt;10000000,IF($M$2=1,$R$33,0),0)</f>
        <v>0</v>
      </c>
      <c r="C19" s="53">
        <f t="shared" si="10"/>
        <v>0</v>
      </c>
      <c r="D19" s="6">
        <f t="shared" si="10"/>
        <v>0</v>
      </c>
      <c r="E19" s="54">
        <f t="shared" si="10"/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8">
        <f t="shared" si="10"/>
        <v>0</v>
      </c>
      <c r="L19" s="59">
        <f t="shared" si="10"/>
        <v>0</v>
      </c>
      <c r="M19" s="6"/>
      <c r="N19" s="6"/>
      <c r="O19" s="6"/>
      <c r="Q19" s="79">
        <v>10000001</v>
      </c>
      <c r="R19" s="80">
        <v>1700000</v>
      </c>
      <c r="S19" s="79">
        <v>10000001</v>
      </c>
      <c r="T19" s="80">
        <v>1700000</v>
      </c>
    </row>
    <row r="20" spans="1:20" ht="15" customHeight="1" thickBot="1">
      <c r="A20" s="51" t="s">
        <v>24</v>
      </c>
      <c r="B20" s="52">
        <f t="shared" ref="B20:L20" si="11">IF($M$5&gt;0,$M$5*$R$34,0)+IF($M$6&gt;0,$M$6*$R$35)+IF($M$7&gt;0,$M$7*$R$34,0)</f>
        <v>0</v>
      </c>
      <c r="C20" s="53">
        <f t="shared" si="11"/>
        <v>0</v>
      </c>
      <c r="D20" s="6">
        <f t="shared" si="11"/>
        <v>0</v>
      </c>
      <c r="E20" s="54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8">
        <f t="shared" si="11"/>
        <v>0</v>
      </c>
      <c r="L20" s="59">
        <f t="shared" si="11"/>
        <v>0</v>
      </c>
      <c r="M20" s="6"/>
      <c r="N20" s="6"/>
      <c r="O20" s="6"/>
      <c r="Q20" s="67">
        <v>15000001</v>
      </c>
      <c r="R20" s="81">
        <v>2450000</v>
      </c>
      <c r="S20" s="67">
        <v>15000001</v>
      </c>
      <c r="T20" s="81">
        <v>2450000</v>
      </c>
    </row>
    <row r="21" spans="1:20" ht="15" customHeight="1">
      <c r="A21" s="51" t="s">
        <v>25</v>
      </c>
      <c r="B21" s="52">
        <f>$R$31</f>
        <v>330000</v>
      </c>
      <c r="C21" s="53">
        <f>$R$31</f>
        <v>330000</v>
      </c>
      <c r="D21" s="6">
        <f>$R$31</f>
        <v>330000</v>
      </c>
      <c r="E21" s="54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8">
        <f>$R$31</f>
        <v>330000</v>
      </c>
      <c r="L21" s="59">
        <f>$R$31</f>
        <v>330000</v>
      </c>
      <c r="M21" s="6"/>
      <c r="N21" s="6"/>
      <c r="O21" s="6"/>
      <c r="Q21" s="82" t="s">
        <v>29</v>
      </c>
      <c r="R21" s="83"/>
      <c r="S21" s="82" t="s">
        <v>29</v>
      </c>
      <c r="T21" s="83"/>
    </row>
    <row r="22" spans="1:20" ht="15" customHeight="1">
      <c r="A22" s="84" t="s">
        <v>26</v>
      </c>
      <c r="B22" s="52">
        <f t="shared" ref="B22:L22" si="13">SUM(B17:B21)</f>
        <v>1030000</v>
      </c>
      <c r="C22" s="53">
        <f>SUM(C17:C21)</f>
        <v>1030000</v>
      </c>
      <c r="D22" s="85">
        <f>SUM(D17:D21)</f>
        <v>330000</v>
      </c>
      <c r="E22" s="86">
        <f t="shared" ref="E22:I22" si="14">SUM(E17:E21)</f>
        <v>1092000</v>
      </c>
      <c r="F22" s="85">
        <f t="shared" si="14"/>
        <v>1334400</v>
      </c>
      <c r="G22" s="85">
        <f t="shared" si="14"/>
        <v>1270000</v>
      </c>
      <c r="H22" s="85">
        <f t="shared" si="14"/>
        <v>1470000</v>
      </c>
      <c r="I22" s="85">
        <f t="shared" si="14"/>
        <v>1470000</v>
      </c>
      <c r="J22" s="85">
        <f t="shared" si="13"/>
        <v>1470000</v>
      </c>
      <c r="K22" s="87">
        <f t="shared" si="13"/>
        <v>330000</v>
      </c>
      <c r="L22" s="88">
        <f t="shared" si="13"/>
        <v>330000</v>
      </c>
      <c r="M22" s="6"/>
      <c r="N22" s="6"/>
      <c r="O22" s="6"/>
      <c r="Q22" s="29" t="s">
        <v>55</v>
      </c>
      <c r="R22" s="77"/>
      <c r="S22" s="29" t="s">
        <v>55</v>
      </c>
      <c r="T22" s="77"/>
    </row>
    <row r="23" spans="1:20" ht="15" customHeight="1">
      <c r="A23" s="51"/>
      <c r="B23" s="52"/>
      <c r="C23" s="53"/>
      <c r="D23" s="6"/>
      <c r="E23" s="54"/>
      <c r="F23" s="6"/>
      <c r="G23" s="6"/>
      <c r="H23" s="6"/>
      <c r="I23" s="6"/>
      <c r="J23" s="6"/>
      <c r="K23" s="78"/>
      <c r="L23" s="59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51" t="s">
        <v>27</v>
      </c>
      <c r="B24" s="52">
        <f>ROUNDDOWN(IF(B11-B22&lt;0,0,B11-B22),-3)</f>
        <v>4070000</v>
      </c>
      <c r="C24" s="53">
        <f t="shared" ref="C24:L24" si="15">ROUNDDOWN(IF(C11-C22&lt;0,0,C11-C22),-3)</f>
        <v>4070000</v>
      </c>
      <c r="D24" s="56">
        <f t="shared" si="15"/>
        <v>0</v>
      </c>
      <c r="E24" s="57">
        <f t="shared" si="15"/>
        <v>4566000</v>
      </c>
      <c r="F24" s="56">
        <f t="shared" si="15"/>
        <v>7995000</v>
      </c>
      <c r="G24" s="56">
        <f t="shared" si="15"/>
        <v>6530000</v>
      </c>
      <c r="H24" s="56">
        <f t="shared" si="15"/>
        <v>16080000</v>
      </c>
      <c r="I24" s="56">
        <f t="shared" si="15"/>
        <v>21080000</v>
      </c>
      <c r="J24" s="56">
        <f>ROUNDDOWN(IF(J11-J22&lt;0,0,J11-J22),-3)</f>
        <v>26030000</v>
      </c>
      <c r="K24" s="58">
        <f t="shared" si="15"/>
        <v>0</v>
      </c>
      <c r="L24" s="59">
        <f t="shared" si="15"/>
        <v>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9" t="s">
        <v>56</v>
      </c>
      <c r="B25" s="52">
        <f t="shared" ref="B25:L25" si="16">ROUNDDOWN(B24*VLOOKUP(B24,$O$38:$P$41,2)-VLOOKUP(B24,$Q$47:$R$50,2),-2)</f>
        <v>244200</v>
      </c>
      <c r="C25" s="52">
        <f t="shared" si="16"/>
        <v>244200</v>
      </c>
      <c r="D25" s="90">
        <f t="shared" si="16"/>
        <v>0</v>
      </c>
      <c r="E25" s="91">
        <f t="shared" si="16"/>
        <v>273900</v>
      </c>
      <c r="F25" s="90">
        <f t="shared" si="16"/>
        <v>479700</v>
      </c>
      <c r="G25" s="90">
        <f t="shared" si="16"/>
        <v>391800</v>
      </c>
      <c r="H25" s="90">
        <f t="shared" si="16"/>
        <v>964800</v>
      </c>
      <c r="I25" s="90">
        <f t="shared" si="16"/>
        <v>1264800</v>
      </c>
      <c r="J25" s="90">
        <f t="shared" si="16"/>
        <v>1561800</v>
      </c>
      <c r="K25" s="92">
        <f t="shared" si="16"/>
        <v>0</v>
      </c>
      <c r="L25" s="77">
        <f t="shared" si="16"/>
        <v>0</v>
      </c>
      <c r="M25" s="56"/>
      <c r="N25" s="56"/>
      <c r="O25" s="6"/>
      <c r="Q25" s="60">
        <v>15000001</v>
      </c>
      <c r="R25" s="61">
        <v>0</v>
      </c>
      <c r="S25" s="60">
        <v>15000001</v>
      </c>
      <c r="T25" s="61">
        <v>0</v>
      </c>
    </row>
    <row r="26" spans="1:20" ht="15" customHeight="1">
      <c r="A26" s="89" t="s">
        <v>57</v>
      </c>
      <c r="B26" s="52">
        <f t="shared" ref="B26:L26" si="17">ROUNDDOWN(B24*VLOOKUP(B24,$Q$38:$R$41,2)-VLOOKUP(B24,$Q$47:$R$50,2),-2)</f>
        <v>162800</v>
      </c>
      <c r="C26" s="52">
        <f t="shared" si="17"/>
        <v>162800</v>
      </c>
      <c r="D26" s="90">
        <f t="shared" si="17"/>
        <v>0</v>
      </c>
      <c r="E26" s="91">
        <f t="shared" si="17"/>
        <v>182600</v>
      </c>
      <c r="F26" s="90">
        <f t="shared" si="17"/>
        <v>319800</v>
      </c>
      <c r="G26" s="90">
        <f t="shared" si="17"/>
        <v>261200</v>
      </c>
      <c r="H26" s="90">
        <f t="shared" si="17"/>
        <v>643200</v>
      </c>
      <c r="I26" s="90">
        <f t="shared" si="17"/>
        <v>843200</v>
      </c>
      <c r="J26" s="90">
        <f t="shared" si="17"/>
        <v>1041200</v>
      </c>
      <c r="K26" s="92">
        <f t="shared" si="17"/>
        <v>0</v>
      </c>
      <c r="L26" s="77">
        <f t="shared" si="17"/>
        <v>0</v>
      </c>
      <c r="M26" s="56"/>
      <c r="N26" s="56"/>
      <c r="O26" s="6"/>
      <c r="Q26" s="29" t="s">
        <v>49</v>
      </c>
      <c r="R26" s="77"/>
      <c r="S26" s="29" t="s">
        <v>55</v>
      </c>
      <c r="T26" s="77"/>
    </row>
    <row r="27" spans="1:20" ht="15" customHeight="1">
      <c r="A27" s="51" t="s">
        <v>28</v>
      </c>
      <c r="B27" s="93">
        <f t="shared" ref="B27:L27" si="18">-(IF($M$2=1,$R$56,0)+IF(B11&lt;10000000,IF($M$2=1,$R$57,0),0)+IF(($M$5+$M$7)&gt;0,($M$5+$M$7)*$R$58,0)+IF($M$6&gt;0,$M$6*$R$59)+$R$55)+(IF($M$2=1,$T$56,0)+IF(B57&lt;10000000,IF($M$2=1,$T$57,0),0)+IF(($M$5+$M$7)&gt;0,($M$5+$M$7)*$T$58,0)+IF($M$6&gt;0,$M$6*$T$59)+$T$55)</f>
        <v>50000</v>
      </c>
      <c r="C27" s="94">
        <f t="shared" si="18"/>
        <v>50000</v>
      </c>
      <c r="D27" s="95">
        <f t="shared" si="18"/>
        <v>50000</v>
      </c>
      <c r="E27" s="96">
        <f t="shared" si="18"/>
        <v>50000</v>
      </c>
      <c r="F27" s="95">
        <f t="shared" si="18"/>
        <v>50000</v>
      </c>
      <c r="G27" s="95">
        <f t="shared" si="18"/>
        <v>50000</v>
      </c>
      <c r="H27" s="95">
        <f t="shared" si="18"/>
        <v>50000</v>
      </c>
      <c r="I27" s="95">
        <f t="shared" si="18"/>
        <v>50000</v>
      </c>
      <c r="J27" s="95">
        <f t="shared" si="18"/>
        <v>50000</v>
      </c>
      <c r="K27" s="97">
        <f t="shared" si="18"/>
        <v>50000</v>
      </c>
      <c r="L27" s="98">
        <f t="shared" si="18"/>
        <v>50000</v>
      </c>
      <c r="M27" s="56"/>
      <c r="N27" s="56"/>
      <c r="O27" s="56"/>
      <c r="Q27" s="29">
        <v>0</v>
      </c>
      <c r="R27" s="77">
        <v>0</v>
      </c>
      <c r="S27" s="29">
        <v>0</v>
      </c>
      <c r="T27" s="77">
        <v>0</v>
      </c>
    </row>
    <row r="28" spans="1:20" ht="15" customHeight="1">
      <c r="A28" s="89" t="s">
        <v>58</v>
      </c>
      <c r="B28" s="52">
        <f>IF(B24&gt;2000000,IF(((B27-(B24-2000000))*0.03)&lt;=1500,1500,((B27-(B24-2000000))*0.03)),IF(B24&gt;B27,B27*0.03,B24*0.03))</f>
        <v>1500</v>
      </c>
      <c r="C28" s="52">
        <f>IF(C24&gt;2000000,IF(((C27-(C24-2000000))*0.03)&lt;=1500,1500,((C27-(C24-2000000))*0.03)),IF(C24&gt;C27,C27*0.03,C24*0.03))</f>
        <v>1500</v>
      </c>
      <c r="D28" s="90">
        <f>IF(D24&gt;2000000,IF(((D27-(D24-2000000))*0.03)&lt;=1500,1500,((D27-(D24-2000000))*0.03)),IF(D24&gt;D27,D27*0.03,D24*0.03))</f>
        <v>0</v>
      </c>
      <c r="E28" s="91">
        <f t="shared" ref="E28:I28" si="19">IF(E24&gt;2000000,IF(((E27-(E24-2000000))*0.03)&lt;=1500,1500,((E27-(E24-2000000))*0.03)),IF(E24&gt;E27,E27*0.03,E24*0.03))</f>
        <v>1500</v>
      </c>
      <c r="F28" s="90">
        <f t="shared" si="19"/>
        <v>1500</v>
      </c>
      <c r="G28" s="90">
        <f t="shared" si="19"/>
        <v>1500</v>
      </c>
      <c r="H28" s="90">
        <f t="shared" si="19"/>
        <v>1500</v>
      </c>
      <c r="I28" s="90">
        <f t="shared" si="19"/>
        <v>1500</v>
      </c>
      <c r="J28" s="90">
        <f>IF(J24&gt;2000000,IF(((J27-(J24-2000000))*0.03)&lt;=1500,1500,((J27-(J24-2000000))*0.03)),IF(J24&gt;J27,J27*0.03,J24*0.03))</f>
        <v>1500</v>
      </c>
      <c r="K28" s="92">
        <f>IF(K24&gt;2000000,IF(((K27-(K24-2000000))*0.03)&lt;=1500,1500,((K27-(K24-2000000))*0.03)),IF(K24&gt;K27,K27*0.03,K24*0.03))</f>
        <v>0</v>
      </c>
      <c r="L28" s="77">
        <f>IF(L24&gt;2000000,IF(((L27-(L24-2000000))*0.03)&lt;=1500,1500,((L27-(L24-2000000))*0.03)),IF(L24&gt;L27,L27*0.03,L24*0.03))</f>
        <v>0</v>
      </c>
      <c r="M28" s="99"/>
      <c r="N28" s="99"/>
      <c r="O28" s="56"/>
      <c r="Q28" s="29">
        <v>9000001</v>
      </c>
      <c r="R28" s="77">
        <v>540000</v>
      </c>
      <c r="S28" s="29">
        <v>9000001</v>
      </c>
      <c r="T28" s="77">
        <v>540000</v>
      </c>
    </row>
    <row r="29" spans="1:20" ht="15" customHeight="1" thickBot="1">
      <c r="A29" s="89" t="s">
        <v>59</v>
      </c>
      <c r="B29" s="52">
        <f>IF(B24&gt;2000000,IF(((B27-(B24-2000000))*0.02)&lt;=1000,1000,((B27-(B24-2000000))*0.02)),IF(B24&gt;B27,B27*0.02,B24*0.02))</f>
        <v>1000</v>
      </c>
      <c r="C29" s="52">
        <f>IF(C24&gt;2000000,IF(((C27-(C24-2000000))*0.02)&lt;=1000,1000,((C27-(C24-2000000))*0.02)),IF(C24&gt;C27,C27*0.02,C24*0.02))</f>
        <v>1000</v>
      </c>
      <c r="D29" s="90">
        <f>IF(D24&gt;2000000,IF(((D27-(D24-2000000))*0.02)&lt;=1000,1000,((D27-(D24-2000000))*0.02)),IF(D24&gt;D27,D27*0.02,D24*0.02))</f>
        <v>0</v>
      </c>
      <c r="E29" s="91">
        <f t="shared" ref="E29:I29" si="20">IF(E24&gt;2000000,IF(((E27-(E24-2000000))*0.02)&lt;=1000,1000,((E27-(E24-2000000))*0.02)),IF(E24&gt;E27,E27*0.02,E24*0.02))</f>
        <v>1000</v>
      </c>
      <c r="F29" s="90">
        <f t="shared" si="20"/>
        <v>1000</v>
      </c>
      <c r="G29" s="90">
        <f t="shared" si="20"/>
        <v>1000</v>
      </c>
      <c r="H29" s="90">
        <f t="shared" si="20"/>
        <v>1000</v>
      </c>
      <c r="I29" s="90">
        <f t="shared" si="20"/>
        <v>1000</v>
      </c>
      <c r="J29" s="90">
        <f>IF(J24&gt;2000000,IF(((J27-(J24-2000000))*0.02)&lt;=1000,1000,((J27-(J24-2000000))*0.02)),IF(J24&gt;J27,J27*0.02,J24*0.02))</f>
        <v>1000</v>
      </c>
      <c r="K29" s="92">
        <f>IF(K24&gt;2000000,IF(((K27-(K24-2000000))*0.02)&lt;=1000,1000,((K27-(K24-2000000))*0.02)),IF(K24&gt;K27,K27*0.02,K24*0.02))</f>
        <v>0</v>
      </c>
      <c r="L29" s="77">
        <f>IF(L24&gt;2000000,IF(((L27-(L24-2000000))*0.02)&lt;=1000,1000,((L27-(L24-2000000))*0.02)),IF(L24&gt;L27,L27*0.02,L24*0.02))</f>
        <v>0</v>
      </c>
      <c r="M29" s="99"/>
      <c r="N29" s="99"/>
      <c r="O29" s="56"/>
      <c r="Q29" s="79">
        <v>15000001</v>
      </c>
      <c r="R29" s="80">
        <v>1140000</v>
      </c>
      <c r="S29" s="79">
        <v>15000001</v>
      </c>
      <c r="T29" s="80">
        <v>1140000</v>
      </c>
    </row>
    <row r="30" spans="1:20" ht="15" customHeight="1">
      <c r="A30" s="89" t="s">
        <v>61</v>
      </c>
      <c r="B30" s="52">
        <f>B25-B28</f>
        <v>242700</v>
      </c>
      <c r="C30" s="52">
        <f t="shared" ref="C30:L31" si="21">C25-C28</f>
        <v>242700</v>
      </c>
      <c r="D30" s="90">
        <f t="shared" si="21"/>
        <v>0</v>
      </c>
      <c r="E30" s="91">
        <f>E25-E28</f>
        <v>272400</v>
      </c>
      <c r="F30" s="90">
        <f t="shared" si="21"/>
        <v>478200</v>
      </c>
      <c r="G30" s="90">
        <f t="shared" si="21"/>
        <v>390300</v>
      </c>
      <c r="H30" s="90">
        <f t="shared" si="21"/>
        <v>963300</v>
      </c>
      <c r="I30" s="90">
        <f t="shared" si="21"/>
        <v>1263300</v>
      </c>
      <c r="J30" s="90">
        <f>J25-J28</f>
        <v>1560300</v>
      </c>
      <c r="K30" s="92">
        <f t="shared" si="21"/>
        <v>0</v>
      </c>
      <c r="L30" s="77">
        <f t="shared" si="21"/>
        <v>0</v>
      </c>
      <c r="M30" s="56"/>
      <c r="N30" s="56"/>
      <c r="O30" s="99"/>
      <c r="Q30" s="100" t="s">
        <v>31</v>
      </c>
      <c r="R30" s="101"/>
      <c r="S30" s="100" t="s">
        <v>31</v>
      </c>
      <c r="T30" s="101"/>
    </row>
    <row r="31" spans="1:20" ht="15" customHeight="1">
      <c r="A31" s="89" t="s">
        <v>63</v>
      </c>
      <c r="B31" s="52">
        <f>B26-B29</f>
        <v>161800</v>
      </c>
      <c r="C31" s="52">
        <f t="shared" si="21"/>
        <v>161800</v>
      </c>
      <c r="D31" s="90">
        <f t="shared" si="21"/>
        <v>0</v>
      </c>
      <c r="E31" s="91">
        <f t="shared" si="21"/>
        <v>181600</v>
      </c>
      <c r="F31" s="90">
        <f t="shared" si="21"/>
        <v>318800</v>
      </c>
      <c r="G31" s="90">
        <f t="shared" si="21"/>
        <v>260200</v>
      </c>
      <c r="H31" s="90">
        <f t="shared" si="21"/>
        <v>642200</v>
      </c>
      <c r="I31" s="90">
        <f t="shared" si="21"/>
        <v>842200</v>
      </c>
      <c r="J31" s="90">
        <f t="shared" si="21"/>
        <v>1040200</v>
      </c>
      <c r="K31" s="92">
        <f t="shared" si="21"/>
        <v>0</v>
      </c>
      <c r="L31" s="77">
        <f t="shared" si="21"/>
        <v>0</v>
      </c>
      <c r="M31" s="56"/>
      <c r="N31" s="56"/>
      <c r="O31" s="99"/>
      <c r="Q31" s="102" t="s">
        <v>60</v>
      </c>
      <c r="R31" s="103">
        <v>330000</v>
      </c>
      <c r="S31" s="104" t="s">
        <v>60</v>
      </c>
      <c r="T31" s="103">
        <v>380000</v>
      </c>
    </row>
    <row r="32" spans="1:20" ht="15" customHeight="1">
      <c r="A32" s="105" t="s">
        <v>64</v>
      </c>
      <c r="B32" s="52">
        <f>SUM(B30:B31)</f>
        <v>404500</v>
      </c>
      <c r="C32" s="52">
        <f t="shared" ref="C32:L32" si="22">SUM(C30:C31)</f>
        <v>404500</v>
      </c>
      <c r="D32" s="106">
        <f t="shared" si="22"/>
        <v>0</v>
      </c>
      <c r="E32" s="107">
        <f>SUM(E30:E31)</f>
        <v>454000</v>
      </c>
      <c r="F32" s="106">
        <f t="shared" si="22"/>
        <v>797000</v>
      </c>
      <c r="G32" s="106">
        <f t="shared" si="22"/>
        <v>650500</v>
      </c>
      <c r="H32" s="106">
        <f t="shared" si="22"/>
        <v>1605500</v>
      </c>
      <c r="I32" s="106">
        <f t="shared" si="22"/>
        <v>2105500</v>
      </c>
      <c r="J32" s="106">
        <f>SUM(J30:J31)</f>
        <v>2600500</v>
      </c>
      <c r="K32" s="108">
        <f t="shared" si="22"/>
        <v>0</v>
      </c>
      <c r="L32" s="81">
        <f t="shared" si="22"/>
        <v>0</v>
      </c>
      <c r="M32" s="56"/>
      <c r="N32" s="56"/>
      <c r="O32" s="56"/>
      <c r="Q32" s="102" t="s">
        <v>62</v>
      </c>
      <c r="R32" s="103">
        <v>330000</v>
      </c>
      <c r="S32" s="104" t="s">
        <v>62</v>
      </c>
      <c r="T32" s="103">
        <v>380000</v>
      </c>
    </row>
    <row r="33" spans="1:24" ht="15" customHeight="1">
      <c r="A33" s="109" t="s">
        <v>50</v>
      </c>
      <c r="B33" s="69" t="str">
        <f>IF(B13="所得割非課税","所得割非課税",IF(B12&gt;(B11-B32),"調整あり","調整なし"))</f>
        <v>調整なし</v>
      </c>
      <c r="C33" s="69" t="str">
        <f t="shared" ref="C33:L33" si="23">IF(C13="所得割非課税","所得割非課税",IF(C12&gt;(C11-C32),"調整あり","調整なし"))</f>
        <v>調整なし</v>
      </c>
      <c r="D33" s="110" t="str">
        <f t="shared" si="23"/>
        <v>所得割非課税</v>
      </c>
      <c r="E33" s="111" t="str">
        <f t="shared" si="23"/>
        <v>調整なし</v>
      </c>
      <c r="F33" s="110" t="str">
        <f t="shared" si="23"/>
        <v>調整なし</v>
      </c>
      <c r="G33" s="110" t="str">
        <f t="shared" si="23"/>
        <v>調整なし</v>
      </c>
      <c r="H33" s="110" t="str">
        <f t="shared" si="23"/>
        <v>調整なし</v>
      </c>
      <c r="I33" s="110" t="str">
        <f t="shared" si="23"/>
        <v>調整なし</v>
      </c>
      <c r="J33" s="110" t="str">
        <f t="shared" si="23"/>
        <v>調整なし</v>
      </c>
      <c r="K33" s="112" t="str">
        <f t="shared" si="23"/>
        <v>所得割非課税</v>
      </c>
      <c r="L33" s="113" t="str">
        <f t="shared" si="23"/>
        <v>所得割非課税</v>
      </c>
      <c r="M33" s="114" t="s">
        <v>66</v>
      </c>
      <c r="N33" s="56"/>
      <c r="O33" s="56"/>
      <c r="Q33" s="102" t="s">
        <v>34</v>
      </c>
      <c r="R33" s="103">
        <v>0</v>
      </c>
      <c r="S33" s="104" t="s">
        <v>34</v>
      </c>
      <c r="T33" s="103">
        <v>0</v>
      </c>
      <c r="V33" s="6"/>
      <c r="W33" s="6"/>
      <c r="X33" s="6"/>
    </row>
    <row r="34" spans="1:24" ht="15" customHeight="1">
      <c r="A34" s="109" t="s">
        <v>70</v>
      </c>
      <c r="B34" s="93">
        <f>IF(B33="所得割非課税",0,IF(B33="調整なし",0,(B12-(B11-B32)*B30/B32)))</f>
        <v>0</v>
      </c>
      <c r="C34" s="93">
        <f t="shared" ref="C34:L34" si="24">IF(C33="所得割非課税",0,IF(C33="調整なし",0,(C12-(C11-C32)*C30/C32)))</f>
        <v>0</v>
      </c>
      <c r="D34" s="115">
        <f t="shared" si="24"/>
        <v>0</v>
      </c>
      <c r="E34" s="116">
        <f t="shared" si="24"/>
        <v>0</v>
      </c>
      <c r="F34" s="115">
        <f t="shared" si="24"/>
        <v>0</v>
      </c>
      <c r="G34" s="115">
        <f t="shared" si="24"/>
        <v>0</v>
      </c>
      <c r="H34" s="115">
        <f t="shared" si="24"/>
        <v>0</v>
      </c>
      <c r="I34" s="115">
        <f t="shared" si="24"/>
        <v>0</v>
      </c>
      <c r="J34" s="115">
        <f t="shared" si="24"/>
        <v>0</v>
      </c>
      <c r="K34" s="117">
        <f t="shared" si="24"/>
        <v>0</v>
      </c>
      <c r="L34" s="118">
        <f t="shared" si="24"/>
        <v>0</v>
      </c>
      <c r="M34" s="56"/>
      <c r="N34" s="56"/>
      <c r="O34" s="56"/>
      <c r="Q34" s="102" t="s">
        <v>65</v>
      </c>
      <c r="R34" s="103">
        <v>330000</v>
      </c>
      <c r="S34" s="104" t="s">
        <v>65</v>
      </c>
      <c r="T34" s="103">
        <v>380000</v>
      </c>
      <c r="V34" s="10"/>
      <c r="W34" s="119"/>
      <c r="X34" s="6"/>
    </row>
    <row r="35" spans="1:24" ht="15" customHeight="1" thickBot="1">
      <c r="A35" s="120" t="s">
        <v>69</v>
      </c>
      <c r="B35" s="93">
        <f>IF(B33="所得割非課税",0,IF(B33="調整なし",0,(B12-(B11-B32)*B31/B32)))</f>
        <v>0</v>
      </c>
      <c r="C35" s="93">
        <f t="shared" ref="C35:L35" si="25">IF(C33="所得割非課税",0,IF(C33="調整なし",0,(C12-(C11-C32)*C31/C32)))</f>
        <v>0</v>
      </c>
      <c r="D35" s="115">
        <f t="shared" si="25"/>
        <v>0</v>
      </c>
      <c r="E35" s="116">
        <f t="shared" si="25"/>
        <v>0</v>
      </c>
      <c r="F35" s="115">
        <f t="shared" si="25"/>
        <v>0</v>
      </c>
      <c r="G35" s="115">
        <f t="shared" si="25"/>
        <v>0</v>
      </c>
      <c r="H35" s="115">
        <f t="shared" si="25"/>
        <v>0</v>
      </c>
      <c r="I35" s="115">
        <f t="shared" si="25"/>
        <v>0</v>
      </c>
      <c r="J35" s="115">
        <f t="shared" si="25"/>
        <v>0</v>
      </c>
      <c r="K35" s="117">
        <f>IF(K33="所得割非課税",0,IF(K33="調整なし",0,(K12-(K11-K32)*K31/K32)))</f>
        <v>0</v>
      </c>
      <c r="L35" s="118">
        <f t="shared" si="25"/>
        <v>0</v>
      </c>
      <c r="M35" s="56"/>
      <c r="N35" s="56"/>
      <c r="O35" s="56"/>
      <c r="Q35" s="102" t="s">
        <v>35</v>
      </c>
      <c r="R35" s="103">
        <v>450000</v>
      </c>
      <c r="S35" s="104" t="s">
        <v>36</v>
      </c>
      <c r="T35" s="103">
        <v>630000</v>
      </c>
      <c r="V35" s="90"/>
      <c r="W35" s="90"/>
      <c r="X35" s="6"/>
    </row>
    <row r="36" spans="1:24" ht="15" customHeight="1">
      <c r="A36" s="51" t="s">
        <v>71</v>
      </c>
      <c r="B36" s="52">
        <f>IF(B30-B34&gt;0,B30-B34,0)</f>
        <v>242700</v>
      </c>
      <c r="C36" s="52">
        <f t="shared" ref="C36:L37" si="26">IF(C30-C34&gt;0,C30-C34,0)</f>
        <v>242700</v>
      </c>
      <c r="D36" s="90">
        <f t="shared" si="26"/>
        <v>0</v>
      </c>
      <c r="E36" s="91">
        <f t="shared" si="26"/>
        <v>272400</v>
      </c>
      <c r="F36" s="90">
        <f t="shared" si="26"/>
        <v>478200</v>
      </c>
      <c r="G36" s="90">
        <f t="shared" si="26"/>
        <v>390300</v>
      </c>
      <c r="H36" s="90">
        <f t="shared" si="26"/>
        <v>963300</v>
      </c>
      <c r="I36" s="90">
        <f t="shared" si="26"/>
        <v>1263300</v>
      </c>
      <c r="J36" s="90">
        <f t="shared" si="26"/>
        <v>1560300</v>
      </c>
      <c r="K36" s="92">
        <f t="shared" si="26"/>
        <v>0</v>
      </c>
      <c r="L36" s="77">
        <f t="shared" si="26"/>
        <v>0</v>
      </c>
      <c r="M36" s="56"/>
      <c r="N36" s="56"/>
      <c r="O36" s="269" t="s">
        <v>53</v>
      </c>
      <c r="P36" s="270"/>
      <c r="Q36" s="271" t="s">
        <v>67</v>
      </c>
      <c r="R36" s="272"/>
      <c r="S36" s="121"/>
      <c r="T36" s="122"/>
      <c r="V36" s="90"/>
      <c r="W36" s="123"/>
      <c r="X36" s="6"/>
    </row>
    <row r="37" spans="1:24" ht="15" customHeight="1">
      <c r="A37" s="51" t="s">
        <v>72</v>
      </c>
      <c r="B37" s="124">
        <f>IF(B31-B35&gt;0,B31-B35,0)</f>
        <v>161800</v>
      </c>
      <c r="C37" s="52">
        <f t="shared" si="26"/>
        <v>161800</v>
      </c>
      <c r="D37" s="90">
        <f t="shared" si="26"/>
        <v>0</v>
      </c>
      <c r="E37" s="91">
        <f t="shared" si="26"/>
        <v>181600</v>
      </c>
      <c r="F37" s="90">
        <f t="shared" si="26"/>
        <v>318800</v>
      </c>
      <c r="G37" s="90">
        <f t="shared" si="26"/>
        <v>260200</v>
      </c>
      <c r="H37" s="90">
        <f t="shared" si="26"/>
        <v>642200</v>
      </c>
      <c r="I37" s="90">
        <f t="shared" si="26"/>
        <v>842200</v>
      </c>
      <c r="J37" s="90">
        <f t="shared" si="26"/>
        <v>1040200</v>
      </c>
      <c r="K37" s="92">
        <f t="shared" si="26"/>
        <v>0</v>
      </c>
      <c r="L37" s="77">
        <f t="shared" si="26"/>
        <v>0</v>
      </c>
      <c r="M37" s="56"/>
      <c r="N37" s="56"/>
      <c r="O37" s="29" t="s">
        <v>37</v>
      </c>
      <c r="P37" s="77"/>
      <c r="Q37" s="29" t="s">
        <v>37</v>
      </c>
      <c r="R37" s="77"/>
      <c r="S37" s="29" t="s">
        <v>37</v>
      </c>
      <c r="T37" s="77"/>
      <c r="V37" s="90"/>
      <c r="W37" s="123"/>
      <c r="X37" s="6"/>
    </row>
    <row r="38" spans="1:24" ht="15" customHeight="1" thickBot="1">
      <c r="A38" s="125" t="s">
        <v>73</v>
      </c>
      <c r="B38" s="126">
        <f>SUM(B36:B37)</f>
        <v>404500</v>
      </c>
      <c r="C38" s="127">
        <f>SUM(C36:C37)</f>
        <v>404500</v>
      </c>
      <c r="D38" s="128">
        <f t="shared" ref="D38:L38" si="27">SUM(D36:D37)</f>
        <v>0</v>
      </c>
      <c r="E38" s="129">
        <f t="shared" si="27"/>
        <v>454000</v>
      </c>
      <c r="F38" s="128">
        <f t="shared" si="27"/>
        <v>797000</v>
      </c>
      <c r="G38" s="128">
        <f t="shared" si="27"/>
        <v>650500</v>
      </c>
      <c r="H38" s="128">
        <f t="shared" si="27"/>
        <v>1605500</v>
      </c>
      <c r="I38" s="128">
        <f t="shared" si="27"/>
        <v>2105500</v>
      </c>
      <c r="J38" s="128">
        <f t="shared" si="27"/>
        <v>2600500</v>
      </c>
      <c r="K38" s="130">
        <f t="shared" si="27"/>
        <v>0</v>
      </c>
      <c r="L38" s="131">
        <f t="shared" si="27"/>
        <v>0</v>
      </c>
      <c r="M38" s="56"/>
      <c r="N38" s="56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34">
        <v>0</v>
      </c>
      <c r="V38" s="90"/>
      <c r="W38" s="123"/>
      <c r="X38" s="6"/>
    </row>
    <row r="39" spans="1:24" ht="15" customHeight="1" thickBot="1">
      <c r="A39" s="132" t="s">
        <v>94</v>
      </c>
      <c r="B39" s="133"/>
      <c r="C39" s="133"/>
      <c r="D39" s="133"/>
      <c r="E39" s="222">
        <v>100000</v>
      </c>
      <c r="F39" s="224">
        <v>100000</v>
      </c>
      <c r="G39" s="224">
        <v>100000</v>
      </c>
      <c r="H39" s="224">
        <v>100000</v>
      </c>
      <c r="I39" s="224">
        <v>100000</v>
      </c>
      <c r="J39" s="224">
        <v>100000</v>
      </c>
      <c r="K39" s="224">
        <f>入力欄!D21</f>
        <v>0</v>
      </c>
      <c r="L39" s="134"/>
      <c r="M39" s="56"/>
      <c r="N39" s="56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34">
        <v>0.05</v>
      </c>
      <c r="V39" s="90"/>
      <c r="W39" s="123"/>
      <c r="X39" s="6"/>
    </row>
    <row r="40" spans="1:24" ht="15" customHeight="1" thickTop="1" thickBot="1">
      <c r="A40" s="9" t="s">
        <v>98</v>
      </c>
      <c r="B40" s="10">
        <f>B65</f>
        <v>0</v>
      </c>
      <c r="C40" s="10">
        <f>C65</f>
        <v>0</v>
      </c>
      <c r="D40" s="10">
        <f>D65</f>
        <v>0</v>
      </c>
      <c r="E40" s="11">
        <f>E65</f>
        <v>19600</v>
      </c>
      <c r="F40" s="10">
        <f t="shared" ref="F40:K40" si="28">F65</f>
        <v>22540</v>
      </c>
      <c r="G40" s="10">
        <f t="shared" si="28"/>
        <v>19600</v>
      </c>
      <c r="H40" s="10">
        <f t="shared" si="28"/>
        <v>32340</v>
      </c>
      <c r="I40" s="10">
        <f t="shared" si="28"/>
        <v>39200</v>
      </c>
      <c r="J40" s="10">
        <f t="shared" si="28"/>
        <v>39200</v>
      </c>
      <c r="K40" s="10">
        <f t="shared" si="28"/>
        <v>0</v>
      </c>
      <c r="L40" s="135">
        <f>L65</f>
        <v>0</v>
      </c>
      <c r="M40" s="221">
        <v>0.1</v>
      </c>
      <c r="N40" s="56"/>
      <c r="O40" s="29"/>
      <c r="P40" s="34"/>
      <c r="Q40" s="29"/>
      <c r="R40" s="34"/>
      <c r="S40" s="29">
        <v>1950001</v>
      </c>
      <c r="T40" s="34">
        <v>0.1</v>
      </c>
      <c r="V40" s="90"/>
      <c r="W40" s="12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9800</v>
      </c>
      <c r="F41" s="10">
        <f>IF(F39&lt;=2000,0,IF(F11*30%&gt;F39,(F39-2000)*0.1,(F11*30%-2000)*0.1))</f>
        <v>9800</v>
      </c>
      <c r="G41" s="10">
        <f t="shared" si="29"/>
        <v>9800</v>
      </c>
      <c r="H41" s="10">
        <f t="shared" si="29"/>
        <v>9800</v>
      </c>
      <c r="I41" s="10">
        <f t="shared" si="29"/>
        <v>9800</v>
      </c>
      <c r="J41" s="10">
        <f t="shared" si="29"/>
        <v>9800</v>
      </c>
      <c r="K41" s="10">
        <f t="shared" si="29"/>
        <v>0</v>
      </c>
      <c r="L41" s="11">
        <f t="shared" ref="L41" si="30">(L39-2000)*0.1</f>
        <v>-200</v>
      </c>
      <c r="M41" s="56"/>
      <c r="N41" s="56"/>
      <c r="O41" s="29"/>
      <c r="P41" s="34"/>
      <c r="Q41" s="29"/>
      <c r="R41" s="34"/>
      <c r="S41" s="29">
        <v>3300001</v>
      </c>
      <c r="T41" s="34">
        <v>0.2</v>
      </c>
      <c r="V41" s="90"/>
      <c r="W41" s="123"/>
      <c r="X41" s="6"/>
    </row>
    <row r="42" spans="1:24" ht="15" customHeight="1">
      <c r="A42" s="9" t="s">
        <v>96</v>
      </c>
      <c r="B42" s="10"/>
      <c r="C42" s="10"/>
      <c r="D42" s="10"/>
      <c r="E42" s="11">
        <f t="shared" ref="E42:L42" si="31">IF(E41=0,0,IF((E39-2000)*(0.9-VLOOKUP(E66,$S$38:$T$44,2))&gt;E38*$M$40,E38*$M$40,(E39-2000)*(0.9-VLOOKUP(E66,$S$38:$T$44,2))))</f>
        <v>45400</v>
      </c>
      <c r="F42" s="10">
        <f t="shared" si="31"/>
        <v>65660</v>
      </c>
      <c r="G42" s="10">
        <f t="shared" si="31"/>
        <v>65050</v>
      </c>
      <c r="H42" s="10">
        <f t="shared" si="31"/>
        <v>55860.000000000007</v>
      </c>
      <c r="I42" s="10">
        <f t="shared" si="31"/>
        <v>49000</v>
      </c>
      <c r="J42" s="10">
        <f t="shared" si="31"/>
        <v>49000</v>
      </c>
      <c r="K42" s="10">
        <f t="shared" si="31"/>
        <v>0</v>
      </c>
      <c r="L42" s="10">
        <f t="shared" si="31"/>
        <v>-1800</v>
      </c>
      <c r="M42" s="56"/>
      <c r="N42" s="56"/>
      <c r="O42" s="29"/>
      <c r="P42" s="34"/>
      <c r="Q42" s="29"/>
      <c r="R42" s="34"/>
      <c r="S42" s="29">
        <v>6950001</v>
      </c>
      <c r="T42" s="34">
        <v>0.23</v>
      </c>
      <c r="V42" s="90"/>
      <c r="W42" s="123"/>
      <c r="X42" s="6"/>
    </row>
    <row r="43" spans="1:24" ht="15" customHeight="1">
      <c r="A43" s="136" t="s">
        <v>99</v>
      </c>
      <c r="B43" s="137"/>
      <c r="C43" s="137"/>
      <c r="D43" s="137"/>
      <c r="E43" s="138">
        <f>SUM(E41:E42)</f>
        <v>55200</v>
      </c>
      <c r="F43" s="137">
        <f t="shared" ref="F43:K43" si="32">SUM(F41:F42)</f>
        <v>75460</v>
      </c>
      <c r="G43" s="137">
        <f t="shared" si="32"/>
        <v>74850</v>
      </c>
      <c r="H43" s="137">
        <f t="shared" si="32"/>
        <v>65660</v>
      </c>
      <c r="I43" s="137">
        <f t="shared" si="32"/>
        <v>58800</v>
      </c>
      <c r="J43" s="137">
        <f t="shared" si="32"/>
        <v>58800</v>
      </c>
      <c r="K43" s="137">
        <f t="shared" si="32"/>
        <v>0</v>
      </c>
      <c r="L43" s="138">
        <f t="shared" ref="L43:L44" si="33">SUM(L39:L41)</f>
        <v>-200</v>
      </c>
      <c r="M43" s="56"/>
      <c r="N43" s="56"/>
      <c r="O43" s="29"/>
      <c r="P43" s="34"/>
      <c r="Q43" s="29"/>
      <c r="R43" s="34"/>
      <c r="S43" s="29">
        <v>9000001</v>
      </c>
      <c r="T43" s="34">
        <v>0.33</v>
      </c>
      <c r="V43" s="90"/>
      <c r="W43" s="123"/>
      <c r="X43" s="6"/>
    </row>
    <row r="44" spans="1:24" ht="15" customHeight="1" thickBot="1">
      <c r="A44" s="136" t="s">
        <v>97</v>
      </c>
      <c r="B44" s="137"/>
      <c r="C44" s="137"/>
      <c r="D44" s="137"/>
      <c r="E44" s="138">
        <f>SUM(E40:E42)</f>
        <v>74800</v>
      </c>
      <c r="F44" s="137">
        <f t="shared" ref="F44:K44" si="34">SUM(F40:F42)</f>
        <v>98000</v>
      </c>
      <c r="G44" s="137">
        <f t="shared" si="34"/>
        <v>94450</v>
      </c>
      <c r="H44" s="137">
        <f t="shared" si="34"/>
        <v>98000</v>
      </c>
      <c r="I44" s="137">
        <f t="shared" si="34"/>
        <v>98000</v>
      </c>
      <c r="J44" s="137">
        <f t="shared" si="34"/>
        <v>98000</v>
      </c>
      <c r="K44" s="137">
        <f t="shared" si="34"/>
        <v>0</v>
      </c>
      <c r="L44" s="138">
        <f t="shared" si="33"/>
        <v>-2000</v>
      </c>
      <c r="M44" s="56"/>
      <c r="N44" s="56"/>
      <c r="O44" s="79"/>
      <c r="P44" s="80"/>
      <c r="Q44" s="79"/>
      <c r="R44" s="80"/>
      <c r="S44" s="79">
        <v>18000001</v>
      </c>
      <c r="T44" s="144">
        <v>0.4</v>
      </c>
      <c r="V44" s="6"/>
      <c r="W44" s="6"/>
      <c r="X44" s="6"/>
    </row>
    <row r="45" spans="1:24" ht="15" customHeight="1">
      <c r="A45" s="139" t="s">
        <v>80</v>
      </c>
      <c r="B45" s="52">
        <f t="shared" ref="B45:L45" si="35">ROUNDUP(B32*0.1,-2)</f>
        <v>40500</v>
      </c>
      <c r="C45" s="52">
        <f t="shared" si="35"/>
        <v>40500</v>
      </c>
      <c r="D45" s="140">
        <f t="shared" si="35"/>
        <v>0</v>
      </c>
      <c r="E45" s="141">
        <f>ROUND(E32*$M$40,0)</f>
        <v>45400</v>
      </c>
      <c r="F45" s="140">
        <f t="shared" ref="F45:K45" si="36">ROUND(F32*$M$40,0)</f>
        <v>79700</v>
      </c>
      <c r="G45" s="140">
        <f t="shared" si="36"/>
        <v>65050</v>
      </c>
      <c r="H45" s="140">
        <f t="shared" si="36"/>
        <v>160550</v>
      </c>
      <c r="I45" s="140">
        <f t="shared" si="36"/>
        <v>210550</v>
      </c>
      <c r="J45" s="140">
        <f t="shared" si="36"/>
        <v>260050</v>
      </c>
      <c r="K45" s="140">
        <f t="shared" si="36"/>
        <v>0</v>
      </c>
      <c r="L45" s="143">
        <f t="shared" si="35"/>
        <v>0</v>
      </c>
      <c r="M45" s="56"/>
      <c r="N45" s="56"/>
      <c r="O45" s="56"/>
      <c r="Q45" s="29"/>
      <c r="R45" s="77"/>
      <c r="S45" s="29"/>
      <c r="T45" s="77"/>
      <c r="V45" s="6"/>
      <c r="W45" s="6"/>
      <c r="X45" s="6"/>
    </row>
    <row r="46" spans="1:24" ht="15" customHeight="1">
      <c r="A46" s="139" t="s">
        <v>81</v>
      </c>
      <c r="B46" s="145">
        <f t="shared" ref="B46:L46" si="37">0.9-VLOOKUP(B66,$S$38:$T$44,2)</f>
        <v>0.7</v>
      </c>
      <c r="C46" s="145">
        <f t="shared" si="37"/>
        <v>0.7</v>
      </c>
      <c r="D46" s="146">
        <f t="shared" si="37"/>
        <v>0.9</v>
      </c>
      <c r="E46" s="147">
        <f>0.9-VLOOKUP(E66,$S$38:$T$44,2)</f>
        <v>0.7</v>
      </c>
      <c r="F46" s="147">
        <f t="shared" ref="F46:K46" si="38">0.9-VLOOKUP(F66,$S$38:$T$44,2)</f>
        <v>0.67</v>
      </c>
      <c r="G46" s="147">
        <f t="shared" si="38"/>
        <v>0.7</v>
      </c>
      <c r="H46" s="147">
        <f t="shared" si="38"/>
        <v>0.57000000000000006</v>
      </c>
      <c r="I46" s="147">
        <f t="shared" si="38"/>
        <v>0.5</v>
      </c>
      <c r="J46" s="147">
        <f t="shared" si="38"/>
        <v>0.5</v>
      </c>
      <c r="K46" s="147">
        <f t="shared" si="38"/>
        <v>0.9</v>
      </c>
      <c r="L46" s="148">
        <f t="shared" si="37"/>
        <v>0.9</v>
      </c>
      <c r="M46" s="56"/>
      <c r="N46" s="56"/>
      <c r="O46" s="56"/>
      <c r="Q46" s="29" t="s">
        <v>39</v>
      </c>
      <c r="R46" s="77"/>
      <c r="S46" s="29" t="s">
        <v>39</v>
      </c>
      <c r="T46" s="77"/>
      <c r="V46" s="6"/>
      <c r="W46" s="6"/>
      <c r="X46" s="6"/>
    </row>
    <row r="47" spans="1:24" ht="15" customHeight="1" thickBot="1">
      <c r="A47" s="139" t="s">
        <v>82</v>
      </c>
      <c r="B47" s="52">
        <f>B45/B46+2000</f>
        <v>59857.142857142862</v>
      </c>
      <c r="C47" s="52">
        <f t="shared" ref="C47:L47" si="39">C45/C46+2000</f>
        <v>59857.142857142862</v>
      </c>
      <c r="D47" s="140">
        <f t="shared" si="39"/>
        <v>2000</v>
      </c>
      <c r="E47" s="141">
        <f>E45/E46+2000</f>
        <v>66857.14285714287</v>
      </c>
      <c r="F47" s="140">
        <f t="shared" si="39"/>
        <v>120955.22388059701</v>
      </c>
      <c r="G47" s="140">
        <f t="shared" si="39"/>
        <v>94928.571428571435</v>
      </c>
      <c r="H47" s="140">
        <f t="shared" si="39"/>
        <v>283666.66666666663</v>
      </c>
      <c r="I47" s="140">
        <f t="shared" si="39"/>
        <v>423100</v>
      </c>
      <c r="J47" s="140">
        <f t="shared" si="39"/>
        <v>522100</v>
      </c>
      <c r="K47" s="142">
        <f t="shared" si="39"/>
        <v>2000</v>
      </c>
      <c r="L47" s="143">
        <f t="shared" si="39"/>
        <v>2000</v>
      </c>
      <c r="M47" s="56"/>
      <c r="N47" s="56"/>
      <c r="O47" s="56"/>
      <c r="Q47" s="29">
        <v>-2000000</v>
      </c>
      <c r="R47" s="77">
        <v>0</v>
      </c>
      <c r="S47" s="29">
        <v>-2000000</v>
      </c>
      <c r="T47" s="77">
        <v>0</v>
      </c>
      <c r="V47" s="6"/>
      <c r="W47" s="6"/>
      <c r="X47" s="6"/>
    </row>
    <row r="48" spans="1:24" ht="15" customHeight="1">
      <c r="A48" s="149" t="s">
        <v>76</v>
      </c>
      <c r="B48" s="150">
        <v>3000</v>
      </c>
      <c r="C48" s="150">
        <v>3000</v>
      </c>
      <c r="D48" s="151">
        <v>3000</v>
      </c>
      <c r="E48" s="152">
        <v>3000</v>
      </c>
      <c r="F48" s="151">
        <v>3000</v>
      </c>
      <c r="G48" s="151">
        <v>3000</v>
      </c>
      <c r="H48" s="151">
        <v>3000</v>
      </c>
      <c r="I48" s="151">
        <v>3000</v>
      </c>
      <c r="J48" s="151">
        <v>3000</v>
      </c>
      <c r="K48" s="153">
        <v>3000</v>
      </c>
      <c r="L48" s="154">
        <v>3000</v>
      </c>
      <c r="M48" s="56"/>
      <c r="N48" s="56"/>
      <c r="O48" s="56"/>
      <c r="Q48" s="29">
        <v>1</v>
      </c>
      <c r="R48" s="77">
        <v>0</v>
      </c>
      <c r="S48" s="29">
        <v>1</v>
      </c>
      <c r="T48" s="77">
        <v>0</v>
      </c>
      <c r="V48" s="6"/>
      <c r="W48" s="6"/>
      <c r="X48" s="6"/>
    </row>
    <row r="49" spans="1:24" ht="15" customHeight="1" thickBot="1">
      <c r="A49" s="155" t="s">
        <v>77</v>
      </c>
      <c r="B49" s="52">
        <v>1000</v>
      </c>
      <c r="C49" s="52">
        <v>1000</v>
      </c>
      <c r="D49" s="156">
        <v>1000</v>
      </c>
      <c r="E49" s="157">
        <v>1000</v>
      </c>
      <c r="F49" s="156">
        <v>1000</v>
      </c>
      <c r="G49" s="156">
        <v>1000</v>
      </c>
      <c r="H49" s="156">
        <v>1000</v>
      </c>
      <c r="I49" s="156">
        <v>1000</v>
      </c>
      <c r="J49" s="156">
        <v>1000</v>
      </c>
      <c r="K49" s="158">
        <v>1000</v>
      </c>
      <c r="L49" s="159">
        <v>1000</v>
      </c>
      <c r="M49" s="56"/>
      <c r="N49" s="56"/>
      <c r="O49" s="56"/>
      <c r="Q49" s="29"/>
      <c r="R49" s="77"/>
      <c r="S49" s="29">
        <v>1950001</v>
      </c>
      <c r="T49" s="77">
        <v>97500</v>
      </c>
      <c r="V49" s="6"/>
      <c r="W49" s="6"/>
      <c r="X49" s="6"/>
    </row>
    <row r="50" spans="1:24" ht="15" customHeight="1">
      <c r="A50" s="160" t="s">
        <v>74</v>
      </c>
      <c r="B50" s="161">
        <f t="shared" ref="B50:L50" si="40">ROUNDDOWN(SUM(B36,B48),-2)</f>
        <v>245700</v>
      </c>
      <c r="C50" s="162">
        <f t="shared" si="40"/>
        <v>245700</v>
      </c>
      <c r="D50" s="163">
        <f t="shared" si="40"/>
        <v>3000</v>
      </c>
      <c r="E50" s="164">
        <f t="shared" si="40"/>
        <v>275400</v>
      </c>
      <c r="F50" s="163">
        <f t="shared" si="40"/>
        <v>481200</v>
      </c>
      <c r="G50" s="163">
        <f t="shared" si="40"/>
        <v>393300</v>
      </c>
      <c r="H50" s="163">
        <f t="shared" si="40"/>
        <v>966300</v>
      </c>
      <c r="I50" s="163">
        <f t="shared" si="40"/>
        <v>1266300</v>
      </c>
      <c r="J50" s="163">
        <f t="shared" si="40"/>
        <v>1563300</v>
      </c>
      <c r="K50" s="165">
        <f t="shared" si="40"/>
        <v>3000</v>
      </c>
      <c r="L50" s="166">
        <f t="shared" si="40"/>
        <v>3000</v>
      </c>
      <c r="M50" s="56"/>
      <c r="N50" s="56"/>
      <c r="O50" s="56"/>
      <c r="Q50" s="29"/>
      <c r="R50" s="77"/>
      <c r="S50" s="29">
        <v>3300001</v>
      </c>
      <c r="T50" s="77">
        <v>427500</v>
      </c>
      <c r="V50" s="6"/>
      <c r="W50" s="6"/>
      <c r="X50" s="6"/>
    </row>
    <row r="51" spans="1:24" ht="15" customHeight="1">
      <c r="A51" s="167" t="s">
        <v>75</v>
      </c>
      <c r="B51" s="168">
        <f t="shared" ref="B51:L51" si="41">ROUNDDOWN(SUM(B37,B49),-2)</f>
        <v>162800</v>
      </c>
      <c r="C51" s="53">
        <f t="shared" si="41"/>
        <v>162800</v>
      </c>
      <c r="D51" s="169">
        <f t="shared" si="41"/>
        <v>1000</v>
      </c>
      <c r="E51" s="170">
        <f t="shared" si="41"/>
        <v>182600</v>
      </c>
      <c r="F51" s="169">
        <f t="shared" si="41"/>
        <v>319800</v>
      </c>
      <c r="G51" s="169">
        <f t="shared" si="41"/>
        <v>261200</v>
      </c>
      <c r="H51" s="169">
        <f t="shared" si="41"/>
        <v>643200</v>
      </c>
      <c r="I51" s="169">
        <f t="shared" si="41"/>
        <v>843200</v>
      </c>
      <c r="J51" s="169">
        <f t="shared" si="41"/>
        <v>1041200</v>
      </c>
      <c r="K51" s="171">
        <f t="shared" si="41"/>
        <v>1000</v>
      </c>
      <c r="L51" s="172">
        <f t="shared" si="41"/>
        <v>1000</v>
      </c>
      <c r="M51" s="56"/>
      <c r="N51" s="56"/>
      <c r="O51" s="56"/>
      <c r="Q51" s="29"/>
      <c r="R51" s="77"/>
      <c r="S51" s="29">
        <v>6950001</v>
      </c>
      <c r="T51" s="77">
        <v>636000</v>
      </c>
      <c r="V51" s="6"/>
      <c r="W51" s="6"/>
      <c r="X51" s="6"/>
    </row>
    <row r="52" spans="1:24" ht="15" customHeight="1" thickBot="1">
      <c r="A52" s="173" t="s">
        <v>78</v>
      </c>
      <c r="B52" s="174">
        <f>SUM(B50:B51)</f>
        <v>408500</v>
      </c>
      <c r="C52" s="175">
        <f t="shared" ref="C52:L52" si="42">SUM(C50:C51)</f>
        <v>408500</v>
      </c>
      <c r="D52" s="176">
        <f t="shared" si="42"/>
        <v>4000</v>
      </c>
      <c r="E52" s="177">
        <f>SUM(E50:E51)</f>
        <v>458000</v>
      </c>
      <c r="F52" s="176">
        <f t="shared" si="42"/>
        <v>801000</v>
      </c>
      <c r="G52" s="176">
        <f t="shared" si="42"/>
        <v>654500</v>
      </c>
      <c r="H52" s="176">
        <f t="shared" si="42"/>
        <v>1609500</v>
      </c>
      <c r="I52" s="176">
        <f t="shared" si="42"/>
        <v>2109500</v>
      </c>
      <c r="J52" s="176">
        <f t="shared" si="42"/>
        <v>2604500</v>
      </c>
      <c r="K52" s="178">
        <f t="shared" si="42"/>
        <v>4000</v>
      </c>
      <c r="L52" s="179">
        <f t="shared" si="42"/>
        <v>4000</v>
      </c>
      <c r="M52" s="56"/>
      <c r="N52" s="56"/>
      <c r="O52" s="56"/>
      <c r="Q52" s="29"/>
      <c r="R52" s="77"/>
      <c r="S52" s="29">
        <v>9000001</v>
      </c>
      <c r="T52" s="77">
        <v>1536000</v>
      </c>
      <c r="V52" s="6"/>
      <c r="W52" s="6"/>
      <c r="X52" s="6"/>
    </row>
    <row r="53" spans="1:24" ht="15" customHeight="1" thickBot="1">
      <c r="A53" s="180" t="s">
        <v>100</v>
      </c>
      <c r="B53" s="53"/>
      <c r="C53" s="53"/>
      <c r="D53" s="169"/>
      <c r="E53" s="223">
        <f t="shared" ref="E53:K53" si="43">E43/E38</f>
        <v>0.12158590308370044</v>
      </c>
      <c r="F53" s="223">
        <f t="shared" si="43"/>
        <v>9.4680050188205772E-2</v>
      </c>
      <c r="G53" s="223">
        <f t="shared" si="43"/>
        <v>0.11506533435818601</v>
      </c>
      <c r="H53" s="223">
        <f t="shared" si="43"/>
        <v>4.0896916848333853E-2</v>
      </c>
      <c r="I53" s="223">
        <f t="shared" si="43"/>
        <v>2.79268582284493E-2</v>
      </c>
      <c r="J53" s="223">
        <f t="shared" si="43"/>
        <v>2.2611036339165544E-2</v>
      </c>
      <c r="K53" s="223" t="e">
        <f t="shared" si="43"/>
        <v>#DIV/0!</v>
      </c>
      <c r="L53" s="181"/>
      <c r="M53" s="56"/>
      <c r="N53" s="56"/>
      <c r="O53" s="99"/>
      <c r="Q53" s="79"/>
      <c r="R53" s="80"/>
      <c r="S53" s="79">
        <v>18000001</v>
      </c>
      <c r="T53" s="80">
        <v>2796000</v>
      </c>
    </row>
    <row r="54" spans="1:24" ht="15" customHeight="1" thickBot="1">
      <c r="A54" s="1" t="s">
        <v>68</v>
      </c>
      <c r="B54" s="182"/>
      <c r="C54" s="182"/>
      <c r="E54" s="54"/>
      <c r="F54" s="6"/>
      <c r="G54" s="6"/>
      <c r="H54" s="6"/>
      <c r="I54" s="6"/>
      <c r="J54" s="6"/>
      <c r="K54" s="78"/>
      <c r="M54" s="56"/>
      <c r="N54" s="56"/>
      <c r="O54" s="56"/>
      <c r="Q54" s="265" t="s">
        <v>32</v>
      </c>
      <c r="R54" s="266"/>
      <c r="S54" s="265" t="s">
        <v>33</v>
      </c>
      <c r="T54" s="266"/>
    </row>
    <row r="55" spans="1:24" ht="15" customHeight="1">
      <c r="A55" s="41" t="s">
        <v>0</v>
      </c>
      <c r="B55" s="150">
        <f t="shared" ref="B55:L55" si="44">B9</f>
        <v>7000000</v>
      </c>
      <c r="C55" s="162">
        <f t="shared" si="44"/>
        <v>7000000</v>
      </c>
      <c r="D55" s="183">
        <f t="shared" si="44"/>
        <v>0</v>
      </c>
      <c r="E55" s="184">
        <f t="shared" si="44"/>
        <v>7620000</v>
      </c>
      <c r="F55" s="183">
        <f t="shared" si="44"/>
        <v>11610000</v>
      </c>
      <c r="G55" s="183">
        <f t="shared" si="44"/>
        <v>10000000</v>
      </c>
      <c r="H55" s="183">
        <f t="shared" si="44"/>
        <v>20000000</v>
      </c>
      <c r="I55" s="183">
        <f t="shared" si="44"/>
        <v>25000000</v>
      </c>
      <c r="J55" s="183">
        <f t="shared" si="44"/>
        <v>29950000</v>
      </c>
      <c r="K55" s="185">
        <f t="shared" si="44"/>
        <v>0</v>
      </c>
      <c r="L55" s="31">
        <f t="shared" si="44"/>
        <v>0</v>
      </c>
      <c r="M55" s="99"/>
      <c r="N55" s="99"/>
      <c r="O55" s="56"/>
      <c r="Q55" s="186" t="s">
        <v>60</v>
      </c>
      <c r="R55" s="187">
        <v>330000</v>
      </c>
      <c r="S55" s="188" t="s">
        <v>60</v>
      </c>
      <c r="T55" s="187">
        <v>380000</v>
      </c>
    </row>
    <row r="56" spans="1:24" ht="15" customHeight="1">
      <c r="A56" s="51" t="s">
        <v>12</v>
      </c>
      <c r="B56" s="52">
        <f>B55*VLOOKUP(B55,$S$6:$T$11,2)+VLOOKUP(B55,$S$14:$T$19,2)</f>
        <v>1900000</v>
      </c>
      <c r="C56" s="53">
        <f>C55*VLOOKUP(C55,$S$6:$T$11,2)+VLOOKUP(C55,$S$14:$T$19,2)</f>
        <v>1900000</v>
      </c>
      <c r="D56" s="6">
        <f>D55*VLOOKUP(D55,$S$6:$T$11,2)+VLOOKUP(D55,$S$14:$T$19,2)</f>
        <v>650000</v>
      </c>
      <c r="E56" s="54">
        <f>E55*VLOOKUP(E55,$S$6:$T$12,2)+VLOOKUP(E55,$S$14:$T$20,2)</f>
        <v>1962000</v>
      </c>
      <c r="F56" s="6">
        <f t="shared" ref="F56:L56" si="45">F55*VLOOKUP(F55,$S$6:$T$12,2)+VLOOKUP(F55,$S$14:$T$20,2)</f>
        <v>2280500</v>
      </c>
      <c r="G56" s="6">
        <f t="shared" si="45"/>
        <v>2200000</v>
      </c>
      <c r="H56" s="6">
        <f t="shared" si="45"/>
        <v>2450000</v>
      </c>
      <c r="I56" s="6">
        <f>I55*VLOOKUP(I55,$S$6:$T$12,2)+VLOOKUP(I55,$S$14:$T$20,2)</f>
        <v>2450000</v>
      </c>
      <c r="J56" s="6">
        <f t="shared" si="45"/>
        <v>2450000</v>
      </c>
      <c r="K56" s="78">
        <f t="shared" si="45"/>
        <v>650000</v>
      </c>
      <c r="L56" s="59">
        <f t="shared" si="45"/>
        <v>650000</v>
      </c>
      <c r="M56" s="56"/>
      <c r="N56" s="56"/>
      <c r="O56" s="56"/>
      <c r="Q56" s="186" t="s">
        <v>62</v>
      </c>
      <c r="R56" s="187">
        <v>330000</v>
      </c>
      <c r="S56" s="188" t="s">
        <v>62</v>
      </c>
      <c r="T56" s="187">
        <v>380000</v>
      </c>
    </row>
    <row r="57" spans="1:24" ht="15" customHeight="1">
      <c r="A57" s="51" t="s">
        <v>30</v>
      </c>
      <c r="B57" s="52">
        <f t="shared" ref="B57" si="46">B55-B56</f>
        <v>5100000</v>
      </c>
      <c r="C57" s="53">
        <f>C55-C56</f>
        <v>5100000</v>
      </c>
      <c r="D57" s="6">
        <f>D55-D56</f>
        <v>-650000</v>
      </c>
      <c r="E57" s="54">
        <f t="shared" ref="E57:L57" si="47">E55-E56</f>
        <v>5658000</v>
      </c>
      <c r="F57" s="6">
        <f t="shared" si="47"/>
        <v>9329500</v>
      </c>
      <c r="G57" s="6">
        <f t="shared" si="47"/>
        <v>7800000</v>
      </c>
      <c r="H57" s="6">
        <f t="shared" si="47"/>
        <v>17550000</v>
      </c>
      <c r="I57" s="6">
        <f t="shared" si="47"/>
        <v>22550000</v>
      </c>
      <c r="J57" s="6">
        <f t="shared" si="47"/>
        <v>27500000</v>
      </c>
      <c r="K57" s="78">
        <f t="shared" si="47"/>
        <v>-650000</v>
      </c>
      <c r="L57" s="59">
        <f t="shared" si="47"/>
        <v>-650000</v>
      </c>
      <c r="M57" s="56"/>
      <c r="N57" s="56"/>
      <c r="Q57" s="186" t="s">
        <v>34</v>
      </c>
      <c r="R57" s="187">
        <v>0</v>
      </c>
      <c r="S57" s="188" t="s">
        <v>34</v>
      </c>
      <c r="T57" s="187">
        <v>0</v>
      </c>
    </row>
    <row r="58" spans="1:24" ht="15" customHeight="1">
      <c r="A58" s="51"/>
      <c r="B58" s="52"/>
      <c r="C58" s="53"/>
      <c r="D58" s="6"/>
      <c r="E58" s="54"/>
      <c r="F58" s="6"/>
      <c r="G58" s="6"/>
      <c r="H58" s="6"/>
      <c r="I58" s="6"/>
      <c r="J58" s="6"/>
      <c r="K58" s="78"/>
      <c r="L58" s="59"/>
      <c r="M58" s="56"/>
      <c r="N58" s="56"/>
      <c r="Q58" s="186" t="s">
        <v>65</v>
      </c>
      <c r="R58" s="187">
        <v>330000</v>
      </c>
      <c r="S58" s="188" t="s">
        <v>65</v>
      </c>
      <c r="T58" s="187">
        <v>380000</v>
      </c>
    </row>
    <row r="59" spans="1:24" ht="15" customHeight="1" thickBot="1">
      <c r="A59" s="51" t="s">
        <v>20</v>
      </c>
      <c r="B59" s="52">
        <f>B55*VLOOKUP(B55,$S$23:$T$25,2)+VLOOKUP(B55,$S$27:$T$29,2)</f>
        <v>700000</v>
      </c>
      <c r="C59" s="53">
        <f>C55*VLOOKUP(C55,$S$23:$T$25,2)+VLOOKUP(C55,$S$27:$T$29,2)</f>
        <v>700000</v>
      </c>
      <c r="D59" s="6">
        <f>D55*VLOOKUP(D55,$S$23:$T$25,2)+VLOOKUP(D55,$S$27:$T$29,2)</f>
        <v>0</v>
      </c>
      <c r="E59" s="54">
        <f t="shared" ref="E59:L59" si="48">E55*VLOOKUP(E55,$S$23:$T$25,2)+VLOOKUP(E55,$S$27:$T$29,2)</f>
        <v>762000</v>
      </c>
      <c r="F59" s="6">
        <f t="shared" si="48"/>
        <v>1004400</v>
      </c>
      <c r="G59" s="6">
        <f t="shared" si="48"/>
        <v>940000</v>
      </c>
      <c r="H59" s="6">
        <f t="shared" si="48"/>
        <v>1140000</v>
      </c>
      <c r="I59" s="6">
        <f t="shared" si="48"/>
        <v>1140000</v>
      </c>
      <c r="J59" s="6">
        <f t="shared" si="48"/>
        <v>1140000</v>
      </c>
      <c r="K59" s="78">
        <f t="shared" si="48"/>
        <v>0</v>
      </c>
      <c r="L59" s="59">
        <f t="shared" si="48"/>
        <v>0</v>
      </c>
      <c r="Q59" s="189" t="s">
        <v>35</v>
      </c>
      <c r="R59" s="190">
        <v>450000</v>
      </c>
      <c r="S59" s="191" t="s">
        <v>36</v>
      </c>
      <c r="T59" s="190">
        <v>630000</v>
      </c>
    </row>
    <row r="60" spans="1:24" ht="15" customHeight="1">
      <c r="A60" s="51" t="s">
        <v>21</v>
      </c>
      <c r="B60" s="52">
        <f t="shared" ref="B60:L60" si="49">IF($M$2=1,$T$32,0)</f>
        <v>0</v>
      </c>
      <c r="C60" s="53">
        <f t="shared" si="49"/>
        <v>0</v>
      </c>
      <c r="D60" s="6">
        <f t="shared" si="49"/>
        <v>0</v>
      </c>
      <c r="E60" s="54">
        <f t="shared" si="49"/>
        <v>0</v>
      </c>
      <c r="F60" s="6">
        <f t="shared" si="49"/>
        <v>0</v>
      </c>
      <c r="G60" s="6">
        <f t="shared" si="49"/>
        <v>0</v>
      </c>
      <c r="H60" s="6">
        <f t="shared" si="49"/>
        <v>0</v>
      </c>
      <c r="I60" s="6">
        <f t="shared" si="49"/>
        <v>0</v>
      </c>
      <c r="J60" s="6">
        <f t="shared" si="49"/>
        <v>0</v>
      </c>
      <c r="K60" s="78">
        <f t="shared" si="49"/>
        <v>0</v>
      </c>
      <c r="L60" s="59">
        <f t="shared" si="49"/>
        <v>0</v>
      </c>
    </row>
    <row r="61" spans="1:24" ht="15" customHeight="1">
      <c r="A61" s="51" t="s">
        <v>22</v>
      </c>
      <c r="B61" s="52">
        <f t="shared" ref="B61:L61" si="50">IF(B57&lt;10000000,IF($M$2=1,$T$33,0),0)</f>
        <v>0</v>
      </c>
      <c r="C61" s="53">
        <f t="shared" si="50"/>
        <v>0</v>
      </c>
      <c r="D61" s="6">
        <f t="shared" si="50"/>
        <v>0</v>
      </c>
      <c r="E61" s="54">
        <f t="shared" si="50"/>
        <v>0</v>
      </c>
      <c r="F61" s="6">
        <f t="shared" si="50"/>
        <v>0</v>
      </c>
      <c r="G61" s="6">
        <f t="shared" si="50"/>
        <v>0</v>
      </c>
      <c r="H61" s="6">
        <f t="shared" si="50"/>
        <v>0</v>
      </c>
      <c r="I61" s="6">
        <f t="shared" si="50"/>
        <v>0</v>
      </c>
      <c r="J61" s="6">
        <f t="shared" si="50"/>
        <v>0</v>
      </c>
      <c r="K61" s="78">
        <f t="shared" si="50"/>
        <v>0</v>
      </c>
      <c r="L61" s="59">
        <f t="shared" si="50"/>
        <v>0</v>
      </c>
    </row>
    <row r="62" spans="1:24" ht="15" customHeight="1">
      <c r="A62" s="51" t="s">
        <v>24</v>
      </c>
      <c r="B62" s="52">
        <f t="shared" ref="B62:L62" si="51">IF($M$5&gt;0,$M$5*$T$34,0)+IF($M$6&gt;0,$M$6*$T$35)+IF($M$7&gt;0,$M$7*$T$34,0)</f>
        <v>0</v>
      </c>
      <c r="C62" s="53">
        <f t="shared" si="51"/>
        <v>0</v>
      </c>
      <c r="D62" s="6">
        <f t="shared" si="51"/>
        <v>0</v>
      </c>
      <c r="E62" s="54">
        <f t="shared" si="51"/>
        <v>0</v>
      </c>
      <c r="F62" s="6">
        <f t="shared" si="51"/>
        <v>0</v>
      </c>
      <c r="G62" s="6">
        <f t="shared" si="51"/>
        <v>0</v>
      </c>
      <c r="H62" s="6">
        <f t="shared" si="51"/>
        <v>0</v>
      </c>
      <c r="I62" s="6">
        <f t="shared" si="51"/>
        <v>0</v>
      </c>
      <c r="J62" s="6">
        <f t="shared" si="51"/>
        <v>0</v>
      </c>
      <c r="K62" s="78">
        <f t="shared" si="51"/>
        <v>0</v>
      </c>
      <c r="L62" s="59">
        <f t="shared" si="51"/>
        <v>0</v>
      </c>
    </row>
    <row r="63" spans="1:24" ht="15" customHeight="1">
      <c r="A63" s="51" t="s">
        <v>25</v>
      </c>
      <c r="B63" s="52">
        <f>$T$31</f>
        <v>380000</v>
      </c>
      <c r="C63" s="53">
        <f>$T$31</f>
        <v>380000</v>
      </c>
      <c r="D63" s="6">
        <f>$T$31</f>
        <v>380000</v>
      </c>
      <c r="E63" s="54">
        <f t="shared" ref="E63:L63" si="52">$T$31</f>
        <v>380000</v>
      </c>
      <c r="F63" s="6">
        <f t="shared" si="52"/>
        <v>380000</v>
      </c>
      <c r="G63" s="6">
        <f t="shared" si="52"/>
        <v>380000</v>
      </c>
      <c r="H63" s="6">
        <f t="shared" si="52"/>
        <v>380000</v>
      </c>
      <c r="I63" s="6">
        <f t="shared" si="52"/>
        <v>380000</v>
      </c>
      <c r="J63" s="6">
        <f t="shared" si="52"/>
        <v>380000</v>
      </c>
      <c r="K63" s="78">
        <f t="shared" si="52"/>
        <v>380000</v>
      </c>
      <c r="L63" s="59">
        <f t="shared" si="52"/>
        <v>380000</v>
      </c>
    </row>
    <row r="64" spans="1:24" ht="15" customHeight="1">
      <c r="A64" s="51" t="s">
        <v>26</v>
      </c>
      <c r="B64" s="52">
        <f>SUM(B58:B63)</f>
        <v>1080000</v>
      </c>
      <c r="C64" s="53">
        <f>SUM(C58:C63)+D88</f>
        <v>1080000</v>
      </c>
      <c r="D64" s="6">
        <f t="shared" ref="D64:L64" si="53">SUM(D58:D63)</f>
        <v>380000</v>
      </c>
      <c r="E64" s="54">
        <f>SUM(E58:E63)</f>
        <v>1142000</v>
      </c>
      <c r="F64" s="6">
        <f t="shared" si="53"/>
        <v>1384400</v>
      </c>
      <c r="G64" s="6">
        <f t="shared" si="53"/>
        <v>1320000</v>
      </c>
      <c r="H64" s="6">
        <f t="shared" si="53"/>
        <v>1520000</v>
      </c>
      <c r="I64" s="6">
        <f t="shared" si="53"/>
        <v>1520000</v>
      </c>
      <c r="J64" s="6">
        <f t="shared" si="53"/>
        <v>1520000</v>
      </c>
      <c r="K64" s="78">
        <f t="shared" si="53"/>
        <v>380000</v>
      </c>
      <c r="L64" s="55">
        <f t="shared" si="53"/>
        <v>380000</v>
      </c>
    </row>
    <row r="65" spans="1:16" ht="15" customHeight="1">
      <c r="A65" s="192" t="s">
        <v>88</v>
      </c>
      <c r="B65" s="194">
        <f>IF(B39&lt;=2000,0,IF(B39&gt;(B57-B64)*40%,(B57-B64)*40%-2000,(B39-2000)*VLOOKUP(B66,$S$38:$T$44,2)))</f>
        <v>0</v>
      </c>
      <c r="C65" s="194">
        <f>IF(C39&lt;=2000,0,IF(C39&gt;(C57-C64)*40%,(C57-C64)*40%-2000,(C39-2000)*VLOOKUP(C66,$S$38:$T$44,2)))</f>
        <v>0</v>
      </c>
      <c r="D65" s="194">
        <f>IF(D39&lt;=2000,0,IF(D39&gt;(D57-D64)*40%,(D57-D64)*40%-2000,(D39-2000)*VLOOKUP(D66,$S$38:$T$44,2)))</f>
        <v>0</v>
      </c>
      <c r="E65" s="194">
        <f t="shared" ref="E65:K65" si="54">IF(E39&lt;=2000,0,IF(E39&gt;E57*40%,E57*40%-2000,(E39-2000)*VLOOKUP(E66,$S$38:$T$44,2)))</f>
        <v>19600</v>
      </c>
      <c r="F65" s="194">
        <f t="shared" si="54"/>
        <v>22540</v>
      </c>
      <c r="G65" s="194">
        <f t="shared" si="54"/>
        <v>19600</v>
      </c>
      <c r="H65" s="194">
        <f t="shared" si="54"/>
        <v>32340</v>
      </c>
      <c r="I65" s="194">
        <f t="shared" si="54"/>
        <v>39200</v>
      </c>
      <c r="J65" s="194">
        <f t="shared" si="54"/>
        <v>39200</v>
      </c>
      <c r="K65" s="194">
        <f t="shared" si="54"/>
        <v>0</v>
      </c>
      <c r="L65" s="195"/>
    </row>
    <row r="66" spans="1:16" ht="15" customHeight="1">
      <c r="A66" s="51" t="s">
        <v>27</v>
      </c>
      <c r="B66" s="52">
        <f t="shared" ref="B66:L66" si="55">ROUNDDOWN(IF(B57-B64&lt;0,0,B57-B64),-3)</f>
        <v>4020000</v>
      </c>
      <c r="C66" s="53">
        <f t="shared" si="55"/>
        <v>4020000</v>
      </c>
      <c r="D66" s="56">
        <f t="shared" si="55"/>
        <v>0</v>
      </c>
      <c r="E66" s="57">
        <f>ROUNDDOWN(IF(E57-E64&lt;0,0,E57-E64),-3)</f>
        <v>4516000</v>
      </c>
      <c r="F66" s="56">
        <f t="shared" si="55"/>
        <v>7945000</v>
      </c>
      <c r="G66" s="56">
        <f t="shared" si="55"/>
        <v>6480000</v>
      </c>
      <c r="H66" s="56">
        <f t="shared" si="55"/>
        <v>16030000</v>
      </c>
      <c r="I66" s="56">
        <f t="shared" si="55"/>
        <v>21030000</v>
      </c>
      <c r="J66" s="56">
        <f t="shared" si="55"/>
        <v>25980000</v>
      </c>
      <c r="K66" s="58">
        <f t="shared" si="55"/>
        <v>0</v>
      </c>
      <c r="L66" s="196">
        <f t="shared" si="55"/>
        <v>0</v>
      </c>
    </row>
    <row r="67" spans="1:16" ht="15" customHeight="1">
      <c r="A67" s="192" t="s">
        <v>89</v>
      </c>
      <c r="B67" s="193"/>
      <c r="C67" s="181"/>
      <c r="D67" s="181"/>
      <c r="E67" s="194">
        <f>E66-E65</f>
        <v>4496400</v>
      </c>
      <c r="F67" s="181">
        <f t="shared" ref="F67:K67" si="56">F66-F65</f>
        <v>7922460</v>
      </c>
      <c r="G67" s="181">
        <f t="shared" si="56"/>
        <v>6460400</v>
      </c>
      <c r="H67" s="181">
        <f t="shared" si="56"/>
        <v>15997660</v>
      </c>
      <c r="I67" s="181">
        <f t="shared" si="56"/>
        <v>20990800</v>
      </c>
      <c r="J67" s="181">
        <f t="shared" si="56"/>
        <v>25940800</v>
      </c>
      <c r="K67" s="197">
        <f t="shared" si="56"/>
        <v>0</v>
      </c>
      <c r="L67" s="195"/>
    </row>
    <row r="68" spans="1:16" ht="15" customHeight="1">
      <c r="A68" s="51" t="s">
        <v>38</v>
      </c>
      <c r="B68" s="52">
        <f t="shared" ref="B68:L68" si="57">ROUNDDOWN(B66*VLOOKUP(B66,$S$38:$T$44,2)-VLOOKUP(B66,$S$47:$T$53,2),-2)</f>
        <v>376500</v>
      </c>
      <c r="C68" s="52">
        <f t="shared" si="57"/>
        <v>376500</v>
      </c>
      <c r="D68" s="6">
        <f t="shared" si="57"/>
        <v>0</v>
      </c>
      <c r="E68" s="54">
        <f t="shared" si="57"/>
        <v>475700</v>
      </c>
      <c r="F68" s="6">
        <f t="shared" si="57"/>
        <v>1191300</v>
      </c>
      <c r="G68" s="6">
        <f t="shared" si="57"/>
        <v>868500</v>
      </c>
      <c r="H68" s="6">
        <f t="shared" si="57"/>
        <v>3753900</v>
      </c>
      <c r="I68" s="6">
        <f t="shared" si="57"/>
        <v>5616000</v>
      </c>
      <c r="J68" s="6">
        <f t="shared" si="57"/>
        <v>7596000</v>
      </c>
      <c r="K68" s="78">
        <f t="shared" si="57"/>
        <v>0</v>
      </c>
      <c r="L68" s="55">
        <f t="shared" si="57"/>
        <v>0</v>
      </c>
    </row>
    <row r="69" spans="1:16" ht="15" customHeight="1">
      <c r="A69" s="51"/>
      <c r="B69" s="52"/>
      <c r="C69" s="53"/>
      <c r="D69" s="6"/>
      <c r="E69" s="54"/>
      <c r="F69" s="6"/>
      <c r="G69" s="6"/>
      <c r="H69" s="6"/>
      <c r="I69" s="6"/>
      <c r="J69" s="6"/>
      <c r="K69" s="6"/>
      <c r="L69" s="55"/>
    </row>
    <row r="70" spans="1:16" ht="15" customHeight="1">
      <c r="A70" s="51" t="s">
        <v>38</v>
      </c>
      <c r="B70" s="52">
        <f>B68-B69</f>
        <v>376500</v>
      </c>
      <c r="C70" s="53">
        <f>C68-C69</f>
        <v>376500</v>
      </c>
      <c r="D70" s="6">
        <f>D68-D69</f>
        <v>0</v>
      </c>
      <c r="E70" s="54">
        <f>E68-E69</f>
        <v>475700</v>
      </c>
      <c r="F70" s="6">
        <f t="shared" ref="F70:L70" si="58">F68-F69</f>
        <v>1191300</v>
      </c>
      <c r="G70" s="6">
        <f t="shared" si="58"/>
        <v>868500</v>
      </c>
      <c r="H70" s="6">
        <f t="shared" si="58"/>
        <v>3753900</v>
      </c>
      <c r="I70" s="6">
        <f t="shared" si="58"/>
        <v>5616000</v>
      </c>
      <c r="J70" s="6">
        <f t="shared" si="58"/>
        <v>7596000</v>
      </c>
      <c r="K70" s="78">
        <f t="shared" si="58"/>
        <v>0</v>
      </c>
      <c r="L70" s="59">
        <f t="shared" si="58"/>
        <v>0</v>
      </c>
    </row>
    <row r="71" spans="1:16" ht="15" customHeight="1">
      <c r="A71" s="192" t="s">
        <v>91</v>
      </c>
      <c r="B71" s="193"/>
      <c r="C71" s="193"/>
      <c r="D71" s="181"/>
      <c r="E71" s="194">
        <f t="shared" ref="E71:K71" si="59">ROUNDDOWN(E67*VLOOKUP(E67,$S$38:$T$44,2)-VLOOKUP(E67,$S$47:$T$53,2),-2)</f>
        <v>471700</v>
      </c>
      <c r="F71" s="181">
        <f t="shared" si="59"/>
        <v>1186100</v>
      </c>
      <c r="G71" s="181">
        <f t="shared" si="59"/>
        <v>864500</v>
      </c>
      <c r="H71" s="181">
        <f t="shared" si="59"/>
        <v>3743200</v>
      </c>
      <c r="I71" s="181">
        <f t="shared" si="59"/>
        <v>5600300</v>
      </c>
      <c r="J71" s="181">
        <f t="shared" si="59"/>
        <v>7580300</v>
      </c>
      <c r="K71" s="181">
        <f t="shared" si="59"/>
        <v>0</v>
      </c>
      <c r="L71" s="198"/>
    </row>
    <row r="72" spans="1:16" ht="15" customHeight="1" thickBot="1">
      <c r="A72" s="51"/>
      <c r="B72" s="52"/>
      <c r="C72" s="53"/>
      <c r="D72" s="6"/>
      <c r="E72" s="54"/>
      <c r="F72" s="6"/>
      <c r="G72" s="6"/>
      <c r="H72" s="6"/>
      <c r="I72" s="6"/>
      <c r="J72" s="6"/>
      <c r="K72" s="78"/>
      <c r="L72" s="59"/>
    </row>
    <row r="73" spans="1:16" ht="24" customHeight="1" thickBot="1">
      <c r="A73" s="199" t="s">
        <v>83</v>
      </c>
      <c r="B73" s="200">
        <f>B70+B71</f>
        <v>376500</v>
      </c>
      <c r="C73" s="200">
        <f>C70+C71</f>
        <v>376500</v>
      </c>
      <c r="D73" s="201">
        <f>D70</f>
        <v>0</v>
      </c>
      <c r="E73" s="202">
        <f>E70</f>
        <v>475700</v>
      </c>
      <c r="F73" s="201">
        <f t="shared" ref="F73:L74" si="60">F70</f>
        <v>1191300</v>
      </c>
      <c r="G73" s="201">
        <f t="shared" si="60"/>
        <v>868500</v>
      </c>
      <c r="H73" s="201">
        <f t="shared" si="60"/>
        <v>3753900</v>
      </c>
      <c r="I73" s="201">
        <f t="shared" si="60"/>
        <v>5616000</v>
      </c>
      <c r="J73" s="201">
        <f t="shared" si="60"/>
        <v>7596000</v>
      </c>
      <c r="K73" s="203">
        <f t="shared" si="60"/>
        <v>0</v>
      </c>
      <c r="L73" s="204">
        <f t="shared" si="60"/>
        <v>0</v>
      </c>
    </row>
    <row r="74" spans="1:16" ht="24" customHeight="1">
      <c r="A74" s="205" t="s">
        <v>90</v>
      </c>
      <c r="B74" s="193"/>
      <c r="C74" s="181"/>
      <c r="D74" s="181"/>
      <c r="E74" s="194">
        <f>E71</f>
        <v>471700</v>
      </c>
      <c r="F74" s="181">
        <f t="shared" si="60"/>
        <v>1186100</v>
      </c>
      <c r="G74" s="181">
        <f t="shared" si="60"/>
        <v>864500</v>
      </c>
      <c r="H74" s="181">
        <f t="shared" si="60"/>
        <v>3743200</v>
      </c>
      <c r="I74" s="181">
        <f t="shared" si="60"/>
        <v>5600300</v>
      </c>
      <c r="J74" s="181">
        <f t="shared" si="60"/>
        <v>7580300</v>
      </c>
      <c r="K74" s="197">
        <f t="shared" si="60"/>
        <v>0</v>
      </c>
      <c r="L74" s="198"/>
    </row>
    <row r="75" spans="1:16" ht="24" customHeight="1" thickBot="1">
      <c r="A75" s="206" t="s">
        <v>40</v>
      </c>
      <c r="B75" s="52"/>
      <c r="C75" s="53"/>
      <c r="D75" s="6"/>
      <c r="E75" s="54"/>
      <c r="F75" s="6"/>
      <c r="G75" s="6"/>
      <c r="H75" s="6"/>
      <c r="I75" s="6"/>
      <c r="J75" s="6"/>
      <c r="K75" s="78"/>
      <c r="L75" s="59"/>
      <c r="O75" s="6"/>
      <c r="P75" s="6"/>
    </row>
    <row r="76" spans="1:16" ht="24" customHeight="1">
      <c r="A76" s="207" t="s">
        <v>41</v>
      </c>
      <c r="B76" s="208">
        <f>B73+B38</f>
        <v>781000</v>
      </c>
      <c r="C76" s="209">
        <f>C73+C53-C48-C49</f>
        <v>372500</v>
      </c>
      <c r="D76" s="210">
        <f t="shared" ref="D76:L76" si="61">D73+D38</f>
        <v>0</v>
      </c>
      <c r="E76" s="211">
        <f t="shared" si="61"/>
        <v>929700</v>
      </c>
      <c r="F76" s="210">
        <f t="shared" si="61"/>
        <v>1988300</v>
      </c>
      <c r="G76" s="210">
        <f t="shared" si="61"/>
        <v>1519000</v>
      </c>
      <c r="H76" s="210">
        <f t="shared" si="61"/>
        <v>5359400</v>
      </c>
      <c r="I76" s="210">
        <f t="shared" si="61"/>
        <v>7721500</v>
      </c>
      <c r="J76" s="210">
        <f t="shared" si="61"/>
        <v>10196500</v>
      </c>
      <c r="K76" s="212">
        <f t="shared" si="61"/>
        <v>0</v>
      </c>
      <c r="L76" s="213">
        <f t="shared" si="61"/>
        <v>0</v>
      </c>
      <c r="M76" s="6"/>
      <c r="N76" s="6"/>
      <c r="O76" s="6"/>
      <c r="P76" s="6"/>
    </row>
    <row r="77" spans="1:16" ht="24" customHeight="1" thickBot="1">
      <c r="A77" s="214" t="s">
        <v>42</v>
      </c>
      <c r="B77" s="126">
        <f>B73+B52</f>
        <v>785000</v>
      </c>
      <c r="C77" s="215">
        <f>C73+C53</f>
        <v>376500</v>
      </c>
      <c r="D77" s="216">
        <f t="shared" ref="D77:L77" si="62">D73+D52</f>
        <v>4000</v>
      </c>
      <c r="E77" s="217">
        <f t="shared" si="62"/>
        <v>933700</v>
      </c>
      <c r="F77" s="216">
        <f t="shared" si="62"/>
        <v>1992300</v>
      </c>
      <c r="G77" s="216">
        <f t="shared" si="62"/>
        <v>1523000</v>
      </c>
      <c r="H77" s="216">
        <f t="shared" si="62"/>
        <v>5363400</v>
      </c>
      <c r="I77" s="216">
        <f t="shared" si="62"/>
        <v>7725500</v>
      </c>
      <c r="J77" s="216">
        <f t="shared" si="62"/>
        <v>10200500</v>
      </c>
      <c r="K77" s="218">
        <f t="shared" si="62"/>
        <v>4000</v>
      </c>
      <c r="L77" s="219">
        <f t="shared" si="62"/>
        <v>4000</v>
      </c>
      <c r="M77" s="6"/>
      <c r="N77" s="6"/>
      <c r="O77" s="6"/>
      <c r="P77" s="6"/>
    </row>
    <row r="78" spans="1:16" ht="18" customHeight="1">
      <c r="B78" s="182"/>
      <c r="C78" s="182"/>
      <c r="E78" s="54"/>
      <c r="F78" s="6"/>
      <c r="G78" s="6"/>
      <c r="H78" s="6"/>
      <c r="I78" s="6"/>
      <c r="J78" s="6"/>
      <c r="K78" s="78"/>
      <c r="M78" s="6"/>
      <c r="N78" s="6"/>
      <c r="O78" s="6"/>
      <c r="P78" s="6"/>
    </row>
    <row r="79" spans="1:16" ht="19.5" customHeight="1">
      <c r="A79" s="220" t="s">
        <v>51</v>
      </c>
      <c r="B79" s="182">
        <f t="shared" ref="B79:L79" si="63">B9-B77</f>
        <v>6215000</v>
      </c>
      <c r="C79" s="182">
        <f t="shared" si="63"/>
        <v>6623500</v>
      </c>
      <c r="D79" s="1">
        <f t="shared" si="63"/>
        <v>-4000</v>
      </c>
      <c r="E79" s="54">
        <f t="shared" si="63"/>
        <v>6686300</v>
      </c>
      <c r="F79" s="6">
        <f t="shared" si="63"/>
        <v>9617700</v>
      </c>
      <c r="G79" s="6">
        <f t="shared" si="63"/>
        <v>8477000</v>
      </c>
      <c r="H79" s="6">
        <f t="shared" si="63"/>
        <v>14636600</v>
      </c>
      <c r="I79" s="6">
        <f t="shared" si="63"/>
        <v>17274500</v>
      </c>
      <c r="J79" s="6">
        <f t="shared" si="63"/>
        <v>19749500</v>
      </c>
      <c r="K79" s="78">
        <f t="shared" si="63"/>
        <v>-4000</v>
      </c>
      <c r="L79" s="1">
        <f t="shared" si="63"/>
        <v>-4000</v>
      </c>
      <c r="M79" s="6"/>
      <c r="N79" s="6"/>
      <c r="O79" s="6"/>
      <c r="P79" s="6"/>
    </row>
    <row r="80" spans="1:16" ht="19.5" customHeight="1">
      <c r="A80" s="220" t="s">
        <v>52</v>
      </c>
      <c r="B80" s="182">
        <f t="shared" ref="B80:L80" si="64">B79-B17</f>
        <v>5515000</v>
      </c>
      <c r="C80" s="182">
        <f t="shared" si="64"/>
        <v>5923500</v>
      </c>
      <c r="D80" s="1">
        <f t="shared" si="64"/>
        <v>-4000</v>
      </c>
      <c r="E80" s="54">
        <f t="shared" si="64"/>
        <v>5924300</v>
      </c>
      <c r="F80" s="6">
        <f t="shared" si="64"/>
        <v>8613300</v>
      </c>
      <c r="G80" s="6">
        <f t="shared" si="64"/>
        <v>7537000</v>
      </c>
      <c r="H80" s="6">
        <f t="shared" si="64"/>
        <v>13496600</v>
      </c>
      <c r="I80" s="6">
        <f t="shared" si="64"/>
        <v>16134500</v>
      </c>
      <c r="J80" s="6">
        <f t="shared" si="64"/>
        <v>18609500</v>
      </c>
      <c r="K80" s="78">
        <f t="shared" si="64"/>
        <v>-4000</v>
      </c>
      <c r="L80" s="1">
        <f t="shared" si="64"/>
        <v>-4000</v>
      </c>
      <c r="M80" s="6"/>
      <c r="N80" s="6"/>
      <c r="O80" s="6"/>
      <c r="P80" s="6"/>
    </row>
    <row r="81" spans="1:16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9.5" customHeight="1">
      <c r="A82" s="6" t="s">
        <v>93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9.5" customHeight="1">
      <c r="A83" s="7" t="s">
        <v>79</v>
      </c>
      <c r="B83" s="7"/>
      <c r="C83" s="7"/>
      <c r="D83" s="7"/>
      <c r="E83" s="7">
        <f t="shared" ref="E83:K83" si="65">E47</f>
        <v>66857.14285714287</v>
      </c>
      <c r="F83" s="7">
        <f t="shared" si="65"/>
        <v>120955.22388059701</v>
      </c>
      <c r="G83" s="7">
        <f t="shared" si="65"/>
        <v>94928.571428571435</v>
      </c>
      <c r="H83" s="7">
        <f t="shared" si="65"/>
        <v>283666.66666666663</v>
      </c>
      <c r="I83" s="7">
        <f t="shared" si="65"/>
        <v>423100</v>
      </c>
      <c r="J83" s="7">
        <f t="shared" si="65"/>
        <v>522100</v>
      </c>
      <c r="K83" s="7">
        <f t="shared" si="65"/>
        <v>2000</v>
      </c>
      <c r="L83" s="6"/>
      <c r="M83" s="6"/>
      <c r="N83" s="6"/>
      <c r="O83" s="6"/>
      <c r="P83" s="6"/>
    </row>
    <row r="84" spans="1:16" ht="15" customHeight="1">
      <c r="A84" s="7" t="s">
        <v>84</v>
      </c>
      <c r="B84" s="255"/>
      <c r="C84" s="255"/>
      <c r="D84" s="267">
        <v>2000</v>
      </c>
      <c r="E84" s="267"/>
      <c r="F84" s="7">
        <v>2000</v>
      </c>
      <c r="G84" s="7">
        <v>2000</v>
      </c>
      <c r="H84" s="7">
        <v>2000</v>
      </c>
      <c r="I84" s="7">
        <v>2000</v>
      </c>
      <c r="J84" s="7">
        <v>2000</v>
      </c>
      <c r="K84" s="7">
        <v>2000</v>
      </c>
      <c r="L84" s="6"/>
      <c r="M84" s="6"/>
      <c r="N84" s="6"/>
      <c r="O84" s="6"/>
      <c r="P84" s="6"/>
    </row>
    <row r="85" spans="1:16" ht="15" customHeight="1">
      <c r="A85" s="7" t="s">
        <v>86</v>
      </c>
      <c r="B85" s="8"/>
      <c r="C85" s="8"/>
      <c r="D85" s="7"/>
      <c r="E85" s="7">
        <f t="shared" ref="E85:K85" si="66">(E83-E84)*VLOOKUP(E67,$S$38:$T$44,2)</f>
        <v>13371.428571428574</v>
      </c>
      <c r="F85" s="7">
        <f t="shared" si="66"/>
        <v>27359.701492537315</v>
      </c>
      <c r="G85" s="7">
        <f t="shared" si="66"/>
        <v>18585.714285714286</v>
      </c>
      <c r="H85" s="7">
        <f t="shared" si="66"/>
        <v>92949.999999999985</v>
      </c>
      <c r="I85" s="7">
        <f t="shared" si="66"/>
        <v>168440</v>
      </c>
      <c r="J85" s="7">
        <f t="shared" si="66"/>
        <v>208040</v>
      </c>
      <c r="K85" s="7">
        <f t="shared" si="66"/>
        <v>0</v>
      </c>
      <c r="L85" s="6"/>
      <c r="M85" s="6"/>
      <c r="N85" s="6"/>
      <c r="O85" s="6"/>
      <c r="P85" s="6"/>
    </row>
    <row r="86" spans="1:16" ht="15" customHeight="1">
      <c r="A86" s="7" t="s">
        <v>85</v>
      </c>
      <c r="B86" s="255"/>
      <c r="C86" s="8"/>
      <c r="D86" s="7"/>
      <c r="E86" s="7">
        <f>(E83-E84)*0.1</f>
        <v>6685.7142857142871</v>
      </c>
      <c r="F86" s="7">
        <f t="shared" ref="F86:K86" si="67">(F83-F84)*0.1</f>
        <v>11895.522388059702</v>
      </c>
      <c r="G86" s="7">
        <f t="shared" si="67"/>
        <v>9292.8571428571431</v>
      </c>
      <c r="H86" s="7">
        <f t="shared" si="67"/>
        <v>28166.666666666664</v>
      </c>
      <c r="I86" s="7">
        <f t="shared" si="67"/>
        <v>42110</v>
      </c>
      <c r="J86" s="7">
        <f t="shared" si="67"/>
        <v>52010</v>
      </c>
      <c r="K86" s="7">
        <f t="shared" si="67"/>
        <v>0</v>
      </c>
      <c r="L86" s="6"/>
      <c r="M86" s="6"/>
      <c r="N86" s="6"/>
    </row>
    <row r="87" spans="1:16" ht="15" customHeight="1">
      <c r="A87" s="7" t="s">
        <v>87</v>
      </c>
      <c r="B87" s="255"/>
      <c r="C87" s="8"/>
      <c r="D87" s="7"/>
      <c r="E87" s="7">
        <f>(E83-E84)*E46</f>
        <v>46800.000000000007</v>
      </c>
      <c r="F87" s="7">
        <f t="shared" ref="F87:K87" si="68">(F47-F84)*F46</f>
        <v>79700</v>
      </c>
      <c r="G87" s="7">
        <f t="shared" si="68"/>
        <v>65050</v>
      </c>
      <c r="H87" s="7">
        <f t="shared" si="68"/>
        <v>160550</v>
      </c>
      <c r="I87" s="7">
        <f t="shared" si="68"/>
        <v>210550</v>
      </c>
      <c r="J87" s="7">
        <f t="shared" si="68"/>
        <v>260050</v>
      </c>
      <c r="K87" s="7">
        <f t="shared" si="68"/>
        <v>0</v>
      </c>
      <c r="L87" s="6"/>
    </row>
    <row r="88" spans="1:16" ht="15" customHeight="1">
      <c r="A88" s="7" t="s">
        <v>92</v>
      </c>
      <c r="B88" s="268"/>
      <c r="C88" s="268"/>
      <c r="D88" s="7"/>
      <c r="E88" s="7">
        <f>SUM(E84:E87)</f>
        <v>66857.14285714287</v>
      </c>
      <c r="F88" s="7">
        <f t="shared" ref="F88:K88" si="69">SUM(F84:F87)</f>
        <v>120955.22388059701</v>
      </c>
      <c r="G88" s="7">
        <f t="shared" si="69"/>
        <v>94928.57142857142</v>
      </c>
      <c r="H88" s="7">
        <f t="shared" si="69"/>
        <v>283666.66666666663</v>
      </c>
      <c r="I88" s="7">
        <f t="shared" si="69"/>
        <v>423100</v>
      </c>
      <c r="J88" s="7">
        <f t="shared" si="69"/>
        <v>522100</v>
      </c>
      <c r="K88" s="7">
        <f t="shared" si="69"/>
        <v>2000</v>
      </c>
      <c r="L88" s="6"/>
    </row>
    <row r="89" spans="1:16" ht="15" customHeight="1">
      <c r="A89" s="6"/>
      <c r="B89" s="6"/>
      <c r="C89" s="6"/>
      <c r="D89" s="6"/>
      <c r="E89" s="95" t="str">
        <f t="shared" ref="E89:K89" si="70">IF(E88=E47,"ok","  ")</f>
        <v>ok</v>
      </c>
      <c r="F89" s="95" t="str">
        <f t="shared" si="70"/>
        <v>ok</v>
      </c>
      <c r="G89" s="95" t="str">
        <f t="shared" si="70"/>
        <v>ok</v>
      </c>
      <c r="H89" s="95" t="str">
        <f t="shared" si="70"/>
        <v>ok</v>
      </c>
      <c r="I89" s="95" t="str">
        <f t="shared" si="70"/>
        <v>ok</v>
      </c>
      <c r="J89" s="95" t="str">
        <f t="shared" si="70"/>
        <v>ok</v>
      </c>
      <c r="K89" s="95" t="str">
        <f t="shared" si="70"/>
        <v>ok</v>
      </c>
      <c r="L89" s="6"/>
    </row>
    <row r="90" spans="1:16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6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</sheetData>
  <mergeCells count="22">
    <mergeCell ref="B86:B87"/>
    <mergeCell ref="B88:C88"/>
    <mergeCell ref="O36:P36"/>
    <mergeCell ref="Q36:R36"/>
    <mergeCell ref="Q54:R54"/>
    <mergeCell ref="S54:T54"/>
    <mergeCell ref="B84:C84"/>
    <mergeCell ref="D84:E84"/>
    <mergeCell ref="K4:L4"/>
    <mergeCell ref="V4:V5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4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I5" sqref="I5"/>
    </sheetView>
  </sheetViews>
  <sheetFormatPr defaultColWidth="8.875" defaultRowHeight="13.5"/>
  <cols>
    <col min="1" max="2" width="2.875" style="225" customWidth="1"/>
    <col min="3" max="3" width="25.5" style="225" customWidth="1"/>
    <col min="4" max="4" width="11.625" style="225" customWidth="1"/>
    <col min="5" max="5" width="4.5" style="229" customWidth="1"/>
    <col min="6" max="9" width="8.875" style="225"/>
    <col min="10" max="10" width="1.5" style="225" customWidth="1"/>
    <col min="11" max="16384" width="8.875" style="225"/>
  </cols>
  <sheetData>
    <row r="1" spans="1:9" ht="13.15" customHeight="1">
      <c r="A1" s="237"/>
      <c r="B1" s="238"/>
      <c r="C1" s="238"/>
      <c r="D1" s="238"/>
      <c r="E1" s="238"/>
      <c r="F1" s="238"/>
      <c r="G1" s="238"/>
      <c r="H1" s="238"/>
      <c r="I1" s="238"/>
    </row>
    <row r="2" spans="1:9" ht="28.9" customHeight="1">
      <c r="A2" s="238"/>
      <c r="B2" s="277" t="s">
        <v>116</v>
      </c>
      <c r="C2" s="278"/>
      <c r="D2" s="278"/>
      <c r="E2" s="278"/>
      <c r="F2" s="278"/>
      <c r="G2" s="278"/>
      <c r="H2" s="278"/>
      <c r="I2" s="279"/>
    </row>
    <row r="3" spans="1:9" ht="7.15" customHeight="1">
      <c r="A3" s="233"/>
      <c r="B3" s="233"/>
      <c r="C3" s="233"/>
      <c r="D3" s="233"/>
      <c r="E3" s="233"/>
    </row>
    <row r="4" spans="1:9" ht="24" customHeight="1">
      <c r="A4" s="245" t="s">
        <v>117</v>
      </c>
      <c r="B4" s="233"/>
      <c r="C4" s="233"/>
      <c r="D4" s="233"/>
      <c r="E4" s="233"/>
    </row>
    <row r="5" spans="1:9">
      <c r="A5" s="233"/>
      <c r="B5" s="233"/>
      <c r="C5" s="233"/>
      <c r="D5" s="233"/>
      <c r="E5" s="233"/>
    </row>
    <row r="6" spans="1:9" ht="17.45" customHeight="1">
      <c r="A6" s="225" t="s">
        <v>115</v>
      </c>
    </row>
    <row r="7" spans="1:9" ht="19.899999999999999" customHeight="1">
      <c r="B7" s="273" t="s">
        <v>103</v>
      </c>
      <c r="C7" s="274"/>
      <c r="D7" s="249"/>
      <c r="E7" s="232" t="s">
        <v>104</v>
      </c>
    </row>
    <row r="8" spans="1:9" ht="17.45" customHeight="1">
      <c r="B8" s="241" t="s">
        <v>113</v>
      </c>
      <c r="C8" s="230"/>
      <c r="D8" s="231"/>
      <c r="E8" s="230"/>
    </row>
    <row r="9" spans="1:9" ht="9" customHeight="1">
      <c r="B9" s="230"/>
      <c r="C9" s="230"/>
      <c r="D9" s="231"/>
      <c r="E9" s="230"/>
    </row>
    <row r="10" spans="1:9" ht="17.45" customHeight="1">
      <c r="A10" s="225" t="s">
        <v>105</v>
      </c>
    </row>
    <row r="11" spans="1:9" ht="19.899999999999999" customHeight="1">
      <c r="B11" s="283" t="s">
        <v>119</v>
      </c>
      <c r="C11" s="284"/>
      <c r="D11" s="284"/>
      <c r="E11" s="285"/>
    </row>
    <row r="12" spans="1:9" ht="19.899999999999999" customHeight="1">
      <c r="B12" s="281"/>
      <c r="C12" s="247" t="s">
        <v>120</v>
      </c>
      <c r="D12" s="250"/>
      <c r="E12" s="246" t="s">
        <v>4</v>
      </c>
    </row>
    <row r="13" spans="1:9" ht="19.899999999999999" customHeight="1">
      <c r="B13" s="282"/>
      <c r="C13" s="248" t="s">
        <v>121</v>
      </c>
      <c r="D13" s="250"/>
      <c r="E13" s="246" t="s">
        <v>4</v>
      </c>
    </row>
    <row r="14" spans="1:9" ht="19.899999999999999" customHeight="1">
      <c r="B14" s="283" t="s">
        <v>7</v>
      </c>
      <c r="C14" s="284"/>
      <c r="D14" s="284"/>
      <c r="E14" s="285"/>
    </row>
    <row r="15" spans="1:9" ht="19.899999999999999" customHeight="1">
      <c r="B15" s="227"/>
      <c r="C15" s="226" t="s">
        <v>108</v>
      </c>
      <c r="D15" s="249"/>
      <c r="E15" s="232" t="s">
        <v>4</v>
      </c>
    </row>
    <row r="16" spans="1:9" ht="19.899999999999999" customHeight="1">
      <c r="B16" s="227"/>
      <c r="C16" s="226" t="s">
        <v>109</v>
      </c>
      <c r="D16" s="249"/>
      <c r="E16" s="232" t="s">
        <v>4</v>
      </c>
    </row>
    <row r="17" spans="1:10" ht="19.899999999999999" customHeight="1">
      <c r="B17" s="227"/>
      <c r="C17" s="226" t="s">
        <v>110</v>
      </c>
      <c r="D17" s="249"/>
      <c r="E17" s="232" t="s">
        <v>4</v>
      </c>
    </row>
    <row r="18" spans="1:10" ht="19.899999999999999" customHeight="1">
      <c r="B18" s="228"/>
      <c r="C18" s="226" t="s">
        <v>101</v>
      </c>
      <c r="D18" s="249"/>
      <c r="E18" s="232" t="s">
        <v>4</v>
      </c>
    </row>
    <row r="19" spans="1:10" ht="12" customHeight="1">
      <c r="B19" s="231"/>
      <c r="C19" s="231"/>
      <c r="D19" s="231"/>
      <c r="E19" s="230"/>
    </row>
    <row r="20" spans="1:10" ht="17.45" customHeight="1">
      <c r="A20" s="225" t="s">
        <v>106</v>
      </c>
      <c r="E20" s="230"/>
    </row>
    <row r="21" spans="1:10" ht="23.45" customHeight="1">
      <c r="B21" s="273" t="s">
        <v>102</v>
      </c>
      <c r="C21" s="274"/>
      <c r="D21" s="249"/>
      <c r="E21" s="232" t="s">
        <v>104</v>
      </c>
    </row>
    <row r="22" spans="1:10" ht="17.45" customHeight="1">
      <c r="B22" s="230"/>
      <c r="C22" s="230"/>
      <c r="D22" s="231"/>
      <c r="E22" s="230"/>
    </row>
    <row r="23" spans="1:10" ht="31.15" customHeight="1">
      <c r="B23" s="230"/>
      <c r="C23" s="230"/>
      <c r="D23" s="231"/>
      <c r="E23" s="230"/>
    </row>
    <row r="24" spans="1:10" ht="17.45" customHeight="1" thickBot="1">
      <c r="B24" s="230"/>
      <c r="C24" s="230"/>
      <c r="D24" s="231"/>
      <c r="E24" s="230"/>
    </row>
    <row r="25" spans="1:10" ht="45" customHeight="1" thickTop="1" thickBot="1">
      <c r="B25" s="275" t="s">
        <v>107</v>
      </c>
      <c r="C25" s="276"/>
      <c r="D25" s="239">
        <f>計算欄!K44</f>
        <v>0</v>
      </c>
      <c r="E25" s="240" t="s">
        <v>104</v>
      </c>
      <c r="F25" s="234"/>
      <c r="G25" s="234"/>
    </row>
    <row r="26" spans="1:10" ht="8.4499999999999993" customHeight="1" thickTop="1">
      <c r="B26" s="234"/>
      <c r="C26" s="234"/>
      <c r="D26" s="234"/>
      <c r="E26" s="235"/>
      <c r="F26" s="234"/>
      <c r="G26" s="234"/>
    </row>
    <row r="27" spans="1:10" ht="28.15" customHeight="1">
      <c r="B27" s="234"/>
      <c r="C27" s="242" t="s">
        <v>111</v>
      </c>
      <c r="D27" s="243">
        <f>D21-D25</f>
        <v>0</v>
      </c>
      <c r="E27" s="244" t="s">
        <v>112</v>
      </c>
      <c r="F27" s="235" t="s">
        <v>114</v>
      </c>
      <c r="G27" s="234"/>
    </row>
    <row r="28" spans="1:10" ht="10.9" customHeight="1">
      <c r="B28" s="234"/>
      <c r="C28" s="236"/>
      <c r="D28" s="234"/>
      <c r="E28" s="235"/>
      <c r="F28" s="234"/>
      <c r="G28" s="234"/>
    </row>
    <row r="29" spans="1:10" ht="28.15" customHeight="1">
      <c r="A29" s="280" t="s">
        <v>118</v>
      </c>
      <c r="B29" s="280"/>
      <c r="C29" s="280"/>
      <c r="D29" s="280"/>
      <c r="E29" s="280"/>
      <c r="F29" s="280"/>
      <c r="G29" s="280"/>
      <c r="H29" s="280"/>
      <c r="I29" s="280"/>
      <c r="J29" s="280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計算欄</vt:lpstr>
      <vt:lpstr>入力欄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2013-10-28T07:04:07Z</dcterms:modified>
</cp:coreProperties>
</file>